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2" windowWidth="14952" windowHeight="7356" activeTab="0"/>
  </bookViews>
  <sheets>
    <sheet name="Expenditures &amp; Funding Sources" sheetId="1" r:id="rId1"/>
    <sheet name="MTF By Year" sheetId="2" r:id="rId2"/>
    <sheet name="Sheet3" sheetId="3" r:id="rId3"/>
  </sheets>
  <definedNames>
    <definedName name="_xlnm.Print_Area" localSheetId="0">'Expenditures &amp; Funding Sources'!$A$1:$AD$68</definedName>
    <definedName name="_xlnm.Print_Area" localSheetId="1">'MTF By Year'!$A$1:$O$63</definedName>
  </definedNames>
  <calcPr fullCalcOnLoad="1"/>
</workbook>
</file>

<file path=xl/sharedStrings.xml><?xml version="1.0" encoding="utf-8"?>
<sst xmlns="http://schemas.openxmlformats.org/spreadsheetml/2006/main" count="609" uniqueCount="305">
  <si>
    <t>Project Name</t>
  </si>
  <si>
    <t>Planning Area</t>
  </si>
  <si>
    <t>CMAQ</t>
  </si>
  <si>
    <t>TEDF-D</t>
  </si>
  <si>
    <t>TEDF-F</t>
  </si>
  <si>
    <t>Local</t>
  </si>
  <si>
    <t>Construction Year</t>
  </si>
  <si>
    <t>Justification Score</t>
  </si>
  <si>
    <t>FY 2008</t>
  </si>
  <si>
    <t>FY 2009</t>
  </si>
  <si>
    <t>FY 2010</t>
  </si>
  <si>
    <t>FY 2011</t>
  </si>
  <si>
    <t>FY 2012</t>
  </si>
  <si>
    <t>Project Type</t>
  </si>
  <si>
    <t>Total Cost ($1,000s)</t>
  </si>
  <si>
    <t>Milan-Oakville</t>
  </si>
  <si>
    <t>Rawsonville</t>
  </si>
  <si>
    <t>Border to Border</t>
  </si>
  <si>
    <t>Bridge &amp; Culvert Preservation</t>
  </si>
  <si>
    <t>Equipment</t>
  </si>
  <si>
    <t>Intersection Improvements</t>
  </si>
  <si>
    <t>Local Bridge Program</t>
  </si>
  <si>
    <t>Overlay Program</t>
  </si>
  <si>
    <t>Pavement Preservation Cat. D</t>
  </si>
  <si>
    <t>Pavement Preservation STP-R</t>
  </si>
  <si>
    <t>Sealcoat Program</t>
  </si>
  <si>
    <t>North Territorial</t>
  </si>
  <si>
    <t>Seven Mile</t>
  </si>
  <si>
    <t>Carpenter</t>
  </si>
  <si>
    <t>East Delhi</t>
  </si>
  <si>
    <t>Jackson</t>
  </si>
  <si>
    <t>Main Street</t>
  </si>
  <si>
    <t>Geddes Non-motorized</t>
  </si>
  <si>
    <t>Plymouth Bridge</t>
  </si>
  <si>
    <t>Superior</t>
  </si>
  <si>
    <t>Ford Boulevard II</t>
  </si>
  <si>
    <t>Golfside</t>
  </si>
  <si>
    <t>Hewitt</t>
  </si>
  <si>
    <t>Holmes II</t>
  </si>
  <si>
    <t>Holmes III</t>
  </si>
  <si>
    <t>Whittaker</t>
  </si>
  <si>
    <t>Augusta</t>
  </si>
  <si>
    <t>Countywide</t>
  </si>
  <si>
    <t>Northfield</t>
  </si>
  <si>
    <t>Pittsfield</t>
  </si>
  <si>
    <t>Scio</t>
  </si>
  <si>
    <t>Ypsilanti</t>
  </si>
  <si>
    <t>Reconstruct</t>
  </si>
  <si>
    <t>Resurface</t>
  </si>
  <si>
    <t>Non-motorized</t>
  </si>
  <si>
    <t>Bridge</t>
  </si>
  <si>
    <t>Facility</t>
  </si>
  <si>
    <t>Signal/Intersection</t>
  </si>
  <si>
    <t>Construct</t>
  </si>
  <si>
    <t>Widen</t>
  </si>
  <si>
    <t>Intersection/Roundabout</t>
  </si>
  <si>
    <t>2008-2012</t>
  </si>
  <si>
    <t>Superior @ Geddes</t>
  </si>
  <si>
    <t>Project Limits</t>
  </si>
  <si>
    <t>At Stony Creek</t>
  </si>
  <si>
    <t>At Merritt</t>
  </si>
  <si>
    <t>US-12 to Ecorse</t>
  </si>
  <si>
    <t>Packard to Clark</t>
  </si>
  <si>
    <t>Rue Deauville to Spencer</t>
  </si>
  <si>
    <t>Spencer to Michigan</t>
  </si>
  <si>
    <t>Milan City to 0.5 Mile East of Gooding</t>
  </si>
  <si>
    <t>Oakville-Waltz to Wear</t>
  </si>
  <si>
    <t>County</t>
  </si>
  <si>
    <t>Nollar to Whitmore Lake</t>
  </si>
  <si>
    <t>Main to Donna Lake</t>
  </si>
  <si>
    <t>Textile to I-94</t>
  </si>
  <si>
    <t>Over Huron River</t>
  </si>
  <si>
    <t>Honey Creek to Dino Drive</t>
  </si>
  <si>
    <t>Over Mill Creek</t>
  </si>
  <si>
    <t>Over Fleming Creek</t>
  </si>
  <si>
    <t>At Geddes</t>
  </si>
  <si>
    <t>Totals</t>
  </si>
  <si>
    <t>Dexter-Pinckney Bridge</t>
  </si>
  <si>
    <t>Dexter</t>
  </si>
  <si>
    <t>Over Portage Canal</t>
  </si>
  <si>
    <t>Willis</t>
  </si>
  <si>
    <t>Non-Motorized</t>
  </si>
  <si>
    <t>MTF By Year ($1,000s)</t>
  </si>
  <si>
    <t>Mill &amp; Resurface</t>
  </si>
  <si>
    <t>Widen; Mill &amp; Reconstruct</t>
  </si>
  <si>
    <t>Widen/Resurface</t>
  </si>
  <si>
    <t>Pavement Preservation STP-U</t>
  </si>
  <si>
    <t>Munger at Textile</t>
  </si>
  <si>
    <t>Lincoln HS @ Bellemeade</t>
  </si>
  <si>
    <t>The 2008-2012 CIP includes $5.5 million in non-yet-identified projects represented in the Countywide funding category.  This represents approximately 10% of the total estimated capital investment capacity.</t>
  </si>
  <si>
    <t>WCRC</t>
  </si>
  <si>
    <t>Zeeb Road Facility and Grounds</t>
  </si>
  <si>
    <t>Chelsea Facility and Grounds</t>
  </si>
  <si>
    <t>Manchester Facility and Grounds</t>
  </si>
  <si>
    <t>Salem Facility and Grounds</t>
  </si>
  <si>
    <t>General Facility and Grounds</t>
  </si>
  <si>
    <t>WCRC (Scio)</t>
  </si>
  <si>
    <t>WCRC (Chelsea)</t>
  </si>
  <si>
    <t>WCRC (Manchester)</t>
  </si>
  <si>
    <t>WCRC (Salem)</t>
  </si>
  <si>
    <t>Chelsea Facility</t>
  </si>
  <si>
    <t>Manchester Village Facility</t>
  </si>
  <si>
    <t>Salem Facility</t>
  </si>
  <si>
    <t>Zeeb Road (Scio) Facility</t>
  </si>
  <si>
    <t>Warren @ Dixboro Culvert</t>
  </si>
  <si>
    <t>Ann Arbor</t>
  </si>
  <si>
    <t>Warren @ Dixboro</t>
  </si>
  <si>
    <t>Joy @ Dixboro Culvert</t>
  </si>
  <si>
    <t>Joy @ Dixboro</t>
  </si>
  <si>
    <t>Warren Road Culvert</t>
  </si>
  <si>
    <t>Warren West of Dixboro</t>
  </si>
  <si>
    <t>Schleweis Road Bridge</t>
  </si>
  <si>
    <t>Manchester</t>
  </si>
  <si>
    <t>Over Iron Creek</t>
  </si>
  <si>
    <t>Lima</t>
  </si>
  <si>
    <t>Over Haas Drain</t>
  </si>
  <si>
    <t>Liberty Bridge</t>
  </si>
  <si>
    <t>Main to Donna Lane</t>
  </si>
  <si>
    <t>Ypsi/AA/Pitt/Sup</t>
  </si>
  <si>
    <t>See Below</t>
  </si>
  <si>
    <t>Safety</t>
  </si>
  <si>
    <t>The Multi-Road CMAQ project has the following limits:  Dixboro from Geddes to Huron River Drive and continuing on Huron River Drive to Golfside; Golfside to Washtenaw Avenue; and Clark from Hogback to Huron River Drive and Huron River Drive to Leforge.</t>
  </si>
  <si>
    <t>11 Bridges</t>
  </si>
  <si>
    <t>1 Construct</t>
  </si>
  <si>
    <t>1 Equipment</t>
  </si>
  <si>
    <t>5 Facility</t>
  </si>
  <si>
    <t>3 Intersection/Roundabout</t>
  </si>
  <si>
    <t>4 Mill &amp; Resurface</t>
  </si>
  <si>
    <t>3 Non-motorized</t>
  </si>
  <si>
    <t>4 Reconstruct</t>
  </si>
  <si>
    <t>5 Resurface</t>
  </si>
  <si>
    <t>1 Safety</t>
  </si>
  <si>
    <t>2 Signal/Intersection</t>
  </si>
  <si>
    <t>1 Widen</t>
  </si>
  <si>
    <t>1 Widen/Resurface</t>
  </si>
  <si>
    <t>1 Widen; Mill &amp; Resurface</t>
  </si>
  <si>
    <t>York</t>
  </si>
  <si>
    <t>Bemis/Platt/Willis</t>
  </si>
  <si>
    <t>At Leforge</t>
  </si>
  <si>
    <t>Intersection</t>
  </si>
  <si>
    <t>Signal Interconnect</t>
  </si>
  <si>
    <t>TEDF-A</t>
  </si>
  <si>
    <t>Geddes/Leforge</t>
  </si>
  <si>
    <t>ID No.</t>
  </si>
  <si>
    <t>DRAFT</t>
  </si>
  <si>
    <t>2008 - 2012 Capital Improvement Program - MTF Obligations</t>
  </si>
  <si>
    <t xml:space="preserve">
MTF TOTAL</t>
  </si>
  <si>
    <t>Intersection/Safety</t>
  </si>
  <si>
    <t>Main Street Phase II</t>
  </si>
  <si>
    <t>Norfolk Southern RR to Mill Creek</t>
  </si>
  <si>
    <t>Although the Seven Mile Road construction has been deleted from the CIP, the WCRC is still committed to completing the Environmental Assessment for that project in 2008.</t>
  </si>
  <si>
    <t>FY 2009II</t>
  </si>
  <si>
    <t>Westmoreland to Congress</t>
  </si>
  <si>
    <t>Carpenter Road</t>
  </si>
  <si>
    <t>Washtenaw to Packard</t>
  </si>
  <si>
    <t>Mansfield St</t>
  </si>
  <si>
    <t>MTF Total</t>
  </si>
  <si>
    <t>Reconstruction</t>
  </si>
  <si>
    <t>New Construction</t>
  </si>
  <si>
    <t>MTF 2014</t>
  </si>
  <si>
    <t>FY 2014</t>
  </si>
  <si>
    <t xml:space="preserve"> </t>
  </si>
  <si>
    <t>Primary Bridge Program</t>
  </si>
  <si>
    <t>Primary Limestone</t>
  </si>
  <si>
    <t>Washtenaw County Road Commission</t>
  </si>
  <si>
    <t>Willis Road</t>
  </si>
  <si>
    <t>Michigan Transportation Fund (in $1,000's)</t>
  </si>
  <si>
    <t xml:space="preserve">Equipment </t>
  </si>
  <si>
    <t>Facility and Grounds</t>
  </si>
  <si>
    <t>WCRC Property</t>
  </si>
  <si>
    <t>Facility &amp; Grounds</t>
  </si>
  <si>
    <t>FY 2015</t>
  </si>
  <si>
    <t>MTF 2015</t>
  </si>
  <si>
    <t>Hewitt Road</t>
  </si>
  <si>
    <t>Michigan Ave to Packard</t>
  </si>
  <si>
    <t>Bridge
(State/Federal)</t>
  </si>
  <si>
    <t>State Road</t>
  </si>
  <si>
    <t>MTF 2016</t>
  </si>
  <si>
    <t>Other</t>
  </si>
  <si>
    <t>FY 2016</t>
  </si>
  <si>
    <t>Saline</t>
  </si>
  <si>
    <t>Stony Creek and Hitchingham</t>
  </si>
  <si>
    <t>Packard to Washtenaw</t>
  </si>
  <si>
    <t>Hitchingham to Whittaker</t>
  </si>
  <si>
    <t>Rawsonville Road</t>
  </si>
  <si>
    <t>Seven Mile Road</t>
  </si>
  <si>
    <t>MTF 2017</t>
  </si>
  <si>
    <t>AA-Saline/Ellsworth/Lohr/etc.</t>
  </si>
  <si>
    <t>Pittsfield &amp; Lodi</t>
  </si>
  <si>
    <t>Various Locations</t>
  </si>
  <si>
    <t>Signal Upgrade</t>
  </si>
  <si>
    <t>Austin Road</t>
  </si>
  <si>
    <t>Bridgewater</t>
  </si>
  <si>
    <t>At Eisman</t>
  </si>
  <si>
    <t>Oak Valley to Eisenhower</t>
  </si>
  <si>
    <t>Bemis to Merritt</t>
  </si>
  <si>
    <t>Feldkamp Road Bridge</t>
  </si>
  <si>
    <t>Talladay to Judd</t>
  </si>
  <si>
    <t>Over Saline River</t>
  </si>
  <si>
    <t>Austin Road Bridge</t>
  </si>
  <si>
    <t>Pontiac Trail</t>
  </si>
  <si>
    <t>Salem</t>
  </si>
  <si>
    <t>At Seven Mile</t>
  </si>
  <si>
    <t>FY 2017</t>
  </si>
  <si>
    <t>Funding Sources (5 years total) - Not MTF</t>
  </si>
  <si>
    <t>Yearly Totals (FS+MTF)</t>
  </si>
  <si>
    <t>Textile Intersections</t>
  </si>
  <si>
    <t>2014-2018</t>
  </si>
  <si>
    <t>Border to Border, Phase II</t>
  </si>
  <si>
    <t>Dexter-Huron Metro-Zeeb</t>
  </si>
  <si>
    <t>Grove Road Non-motorized</t>
  </si>
  <si>
    <t>Georgina to Rawsonville</t>
  </si>
  <si>
    <t>Over Bauer Drain</t>
  </si>
  <si>
    <t>Jackson Road Bridge</t>
  </si>
  <si>
    <t>Lima/Sylvan</t>
  </si>
  <si>
    <t>Over Mill Lake Drain</t>
  </si>
  <si>
    <t>Plymouth Road</t>
  </si>
  <si>
    <t>At Curtis</t>
  </si>
  <si>
    <t>At Ford</t>
  </si>
  <si>
    <t>Prospect Road</t>
  </si>
  <si>
    <t>At Cherry Hill</t>
  </si>
  <si>
    <t>Island Lake Road</t>
  </si>
  <si>
    <t>At Wylie</t>
  </si>
  <si>
    <t>Safety - Turn Lane/Signal</t>
  </si>
  <si>
    <t>Safety - Turn Lanes/Signal</t>
  </si>
  <si>
    <t>Safety - Turn Lanes</t>
  </si>
  <si>
    <t>Safety - Roundabout</t>
  </si>
  <si>
    <t>Safety - Hillcut/Flasher</t>
  </si>
  <si>
    <t>Safety - Hillcut</t>
  </si>
  <si>
    <t>M-52 to Schneider</t>
  </si>
  <si>
    <t>Safety - Culverts/Guardrail</t>
  </si>
  <si>
    <t>Safety - Correct Superelev</t>
  </si>
  <si>
    <t>Lohr/Textile Greenway II</t>
  </si>
  <si>
    <t>Lohr to Ann Arbor-Saline</t>
  </si>
  <si>
    <t>Oakville-Waltz to Talladay</t>
  </si>
  <si>
    <t>Scio Township SAD</t>
  </si>
  <si>
    <t>Various Roads in Scio</t>
  </si>
  <si>
    <t>Traffic Calming Program</t>
  </si>
  <si>
    <t>Lodi</t>
  </si>
  <si>
    <t>Over Unnamed Tributary</t>
  </si>
  <si>
    <t>Huron Street</t>
  </si>
  <si>
    <t>Huron River Drive/Superior Rd.</t>
  </si>
  <si>
    <t>Hewitt to Cornell</t>
  </si>
  <si>
    <t>Pave Gravel</t>
  </si>
  <si>
    <t>Ann Arbor-Saline Road</t>
  </si>
  <si>
    <t>At Textile</t>
  </si>
  <si>
    <t>Textile Road</t>
  </si>
  <si>
    <t>Ann Arbor-Saline to Maple</t>
  </si>
  <si>
    <t>Superior/Ypsilanti</t>
  </si>
  <si>
    <t>Holmes to Geddes</t>
  </si>
  <si>
    <t>Huron Road/Whittaker Road</t>
  </si>
  <si>
    <t>Stony Creek to I-94</t>
  </si>
  <si>
    <t>York/Pittsfield</t>
  </si>
  <si>
    <t>Judd to Textile</t>
  </si>
  <si>
    <t>Whittaker Road</t>
  </si>
  <si>
    <t>Jennings Road</t>
  </si>
  <si>
    <t>Webster</t>
  </si>
  <si>
    <t>N. Territorial to Twp Line</t>
  </si>
  <si>
    <t>FY 2018</t>
  </si>
  <si>
    <t>MTF 2018</t>
  </si>
  <si>
    <t>STU/L</t>
  </si>
  <si>
    <t>Pavement Preservation STU</t>
  </si>
  <si>
    <t>Pavement Preservation STL</t>
  </si>
  <si>
    <t>Resurfacing 3R STU</t>
  </si>
  <si>
    <t>Resurfacing 3R STL</t>
  </si>
  <si>
    <t>Resurfacing 3R TEDF-D</t>
  </si>
  <si>
    <t>Pavement Preservation TEDF-D</t>
  </si>
  <si>
    <t>Used TIP 1/30/13 - 2018 assumed</t>
  </si>
  <si>
    <t>Used previous CIP numbers</t>
  </si>
  <si>
    <t>??????</t>
  </si>
  <si>
    <t>Morgan to Ellsworth</t>
  </si>
  <si>
    <t>Preliminary Engineering</t>
  </si>
  <si>
    <t>Assuming match from Pittsfield, no MTF?</t>
  </si>
  <si>
    <t>Included pittsfld sw 200k, assumed CAT A $ (or F?)</t>
  </si>
  <si>
    <t>tapp</t>
  </si>
  <si>
    <t>North Territorial Bridge</t>
  </si>
  <si>
    <t>CE included 95/5</t>
  </si>
  <si>
    <t>SSS</t>
  </si>
  <si>
    <t>SSS - 25k hauler $</t>
  </si>
  <si>
    <t>sss</t>
  </si>
  <si>
    <t>CE ADDED 15% - PE included 50% elibible ($20k)</t>
  </si>
  <si>
    <t>CE ADDED - not FA eligible ($120k)</t>
  </si>
  <si>
    <t xml:space="preserve">CE ADDED - PE eligible - 50% </t>
  </si>
  <si>
    <t>OK for now SSS - LAST YEAR'S INFO - Not Verified or found</t>
  </si>
  <si>
    <t>Verified by Brent &amp; Sheryl</t>
  </si>
  <si>
    <t>Per SSS</t>
  </si>
  <si>
    <t>Talk to Roy</t>
  </si>
  <si>
    <t xml:space="preserve">Placeholders </t>
  </si>
  <si>
    <t>SSS to get back (9/5/13)  ADD MDOT &amp; AA EXTRAS</t>
  </si>
  <si>
    <t>Huron River Drive to I-94</t>
  </si>
  <si>
    <t>CE Not Included</t>
  </si>
  <si>
    <t>tapp  187k non part</t>
  </si>
  <si>
    <t>Zeeb Road Bridge</t>
  </si>
  <si>
    <t>Dixboro Road Bridge</t>
  </si>
  <si>
    <t xml:space="preserve">Capital Improvement Plan 2014 ~2018 </t>
  </si>
  <si>
    <t>Ellsworth Road</t>
  </si>
  <si>
    <t>Golfside to Hewitt</t>
  </si>
  <si>
    <t>McKinley Road Culvert</t>
  </si>
  <si>
    <t>Wagner Road Culvert</t>
  </si>
  <si>
    <t>Bridge - Preserve Deck</t>
  </si>
  <si>
    <t>Pavement Preservation STL-13</t>
  </si>
  <si>
    <t>Asset Mgmt/GIS</t>
  </si>
  <si>
    <t>GIS/Mapping</t>
  </si>
  <si>
    <t>2014-2016</t>
  </si>
  <si>
    <r>
      <t>Planned Capital Investments  2014-2018</t>
    </r>
    <r>
      <rPr>
        <sz val="22"/>
        <color indexed="10"/>
        <rFont val="Arial"/>
        <family val="2"/>
      </rPr>
      <t xml:space="preserve">     </t>
    </r>
    <r>
      <rPr>
        <b/>
        <sz val="22"/>
        <rFont val="Arial"/>
        <family val="2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</si>
</sst>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sz val="36"/>
      <color indexed="10"/>
      <name val="Arial"/>
      <family val="2"/>
    </font>
    <font>
      <sz val="36"/>
      <name val="Arial"/>
      <family val="2"/>
    </font>
    <font>
      <sz val="12"/>
      <color indexed="10"/>
      <name val="Arial"/>
      <family val="2"/>
    </font>
    <font>
      <strike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color indexed="9"/>
      <name val="Helvetica"/>
      <family val="2"/>
    </font>
    <font>
      <sz val="16"/>
      <name val="Arial"/>
      <family val="2"/>
    </font>
    <font>
      <b/>
      <sz val="14"/>
      <name val="Helvetica"/>
      <family val="2"/>
    </font>
    <font>
      <sz val="22"/>
      <color indexed="10"/>
      <name val="Arial"/>
      <family val="2"/>
    </font>
    <font>
      <sz val="11"/>
      <color indexed="63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23"/>
      <name val="Century Gothic"/>
      <family val="2"/>
    </font>
    <font>
      <sz val="11"/>
      <color indexed="10"/>
      <name val="Century Gothic"/>
      <family val="2"/>
    </font>
    <font>
      <b/>
      <sz val="12"/>
      <color indexed="9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2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" fontId="2" fillId="0" borderId="16" xfId="0" applyNumberFormat="1" applyFont="1" applyFill="1" applyBorder="1" applyAlignment="1">
      <alignment horizontal="center" vertical="center"/>
    </xf>
    <xf numFmtId="16" fontId="2" fillId="0" borderId="19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vertical="center"/>
    </xf>
    <xf numFmtId="0" fontId="3" fillId="34" borderId="22" xfId="0" applyFont="1" applyFill="1" applyBorder="1" applyAlignment="1">
      <alignment horizontal="center" vertical="center" wrapText="1"/>
    </xf>
    <xf numFmtId="164" fontId="3" fillId="34" borderId="22" xfId="0" applyNumberFormat="1" applyFont="1" applyFill="1" applyBorder="1" applyAlignment="1">
      <alignment horizontal="center" vertical="center" wrapText="1"/>
    </xf>
    <xf numFmtId="164" fontId="3" fillId="34" borderId="23" xfId="0" applyNumberFormat="1" applyFont="1" applyFill="1" applyBorder="1" applyAlignment="1">
      <alignment horizontal="center" vertical="center" wrapText="1"/>
    </xf>
    <xf numFmtId="164" fontId="3" fillId="35" borderId="24" xfId="0" applyNumberFormat="1" applyFont="1" applyFill="1" applyBorder="1" applyAlignment="1">
      <alignment horizontal="center" vertical="center" wrapText="1"/>
    </xf>
    <xf numFmtId="164" fontId="3" fillId="35" borderId="22" xfId="0" applyNumberFormat="1" applyFont="1" applyFill="1" applyBorder="1" applyAlignment="1">
      <alignment horizontal="center" vertical="center" wrapText="1"/>
    </xf>
    <xf numFmtId="164" fontId="3" fillId="35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26" xfId="0" applyBorder="1" applyAlignment="1">
      <alignment horizont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5" fontId="2" fillId="33" borderId="3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65" fontId="2" fillId="0" borderId="36" xfId="0" applyNumberFormat="1" applyFont="1" applyBorder="1" applyAlignment="1">
      <alignment vertical="center"/>
    </xf>
    <xf numFmtId="165" fontId="2" fillId="0" borderId="37" xfId="0" applyNumberFormat="1" applyFont="1" applyBorder="1" applyAlignment="1">
      <alignment vertical="center"/>
    </xf>
    <xf numFmtId="165" fontId="2" fillId="33" borderId="38" xfId="0" applyNumberFormat="1" applyFont="1" applyFill="1" applyBorder="1" applyAlignment="1">
      <alignment horizontal="center" vertical="center"/>
    </xf>
    <xf numFmtId="165" fontId="2" fillId="0" borderId="39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65" fontId="3" fillId="0" borderId="40" xfId="0" applyNumberFormat="1" applyFont="1" applyBorder="1" applyAlignment="1">
      <alignment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165" fontId="11" fillId="0" borderId="14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165" fontId="11" fillId="33" borderId="11" xfId="0" applyNumberFormat="1" applyFont="1" applyFill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18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165" fontId="2" fillId="0" borderId="14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11" fillId="0" borderId="45" xfId="0" applyNumberFormat="1" applyFont="1" applyFill="1" applyBorder="1" applyAlignment="1">
      <alignment horizontal="center" vertical="center"/>
    </xf>
    <xf numFmtId="165" fontId="11" fillId="0" borderId="46" xfId="0" applyNumberFormat="1" applyFont="1" applyFill="1" applyBorder="1" applyAlignment="1">
      <alignment horizontal="center" vertical="center"/>
    </xf>
    <xf numFmtId="165" fontId="13" fillId="0" borderId="32" xfId="0" applyNumberFormat="1" applyFont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/>
    </xf>
    <xf numFmtId="165" fontId="2" fillId="36" borderId="17" xfId="0" applyNumberFormat="1" applyFont="1" applyFill="1" applyBorder="1" applyAlignment="1">
      <alignment horizontal="center" vertical="center"/>
    </xf>
    <xf numFmtId="165" fontId="2" fillId="36" borderId="18" xfId="0" applyNumberFormat="1" applyFont="1" applyFill="1" applyBorder="1" applyAlignment="1">
      <alignment horizontal="center" vertical="center"/>
    </xf>
    <xf numFmtId="165" fontId="2" fillId="36" borderId="16" xfId="0" applyNumberFormat="1" applyFont="1" applyFill="1" applyBorder="1" applyAlignment="1">
      <alignment horizontal="center" vertical="center"/>
    </xf>
    <xf numFmtId="165" fontId="2" fillId="36" borderId="37" xfId="0" applyNumberFormat="1" applyFont="1" applyFill="1" applyBorder="1" applyAlignment="1">
      <alignment vertical="center"/>
    </xf>
    <xf numFmtId="0" fontId="2" fillId="36" borderId="45" xfId="0" applyFont="1" applyFill="1" applyBorder="1" applyAlignment="1">
      <alignment vertical="center"/>
    </xf>
    <xf numFmtId="165" fontId="2" fillId="36" borderId="47" xfId="0" applyNumberFormat="1" applyFont="1" applyFill="1" applyBorder="1" applyAlignment="1">
      <alignment horizontal="center" vertical="center"/>
    </xf>
    <xf numFmtId="165" fontId="11" fillId="36" borderId="16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48" xfId="0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15" fontId="4" fillId="0" borderId="44" xfId="0" applyNumberFormat="1" applyFont="1" applyBorder="1" applyAlignment="1">
      <alignment vertical="center"/>
    </xf>
    <xf numFmtId="0" fontId="5" fillId="0" borderId="35" xfId="0" applyFont="1" applyBorder="1" applyAlignment="1">
      <alignment/>
    </xf>
    <xf numFmtId="0" fontId="2" fillId="0" borderId="50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9" fillId="37" borderId="0" xfId="0" applyFont="1" applyFill="1" applyAlignment="1">
      <alignment/>
    </xf>
    <xf numFmtId="165" fontId="3" fillId="7" borderId="51" xfId="0" applyNumberFormat="1" applyFont="1" applyFill="1" applyBorder="1" applyAlignment="1">
      <alignment horizontal="center" vertical="center"/>
    </xf>
    <xf numFmtId="165" fontId="3" fillId="7" borderId="52" xfId="0" applyNumberFormat="1" applyFont="1" applyFill="1" applyBorder="1" applyAlignment="1">
      <alignment horizontal="center" vertical="center"/>
    </xf>
    <xf numFmtId="165" fontId="3" fillId="7" borderId="53" xfId="0" applyNumberFormat="1" applyFont="1" applyFill="1" applyBorder="1" applyAlignment="1">
      <alignment horizontal="center" vertical="center"/>
    </xf>
    <xf numFmtId="165" fontId="3" fillId="7" borderId="50" xfId="0" applyNumberFormat="1" applyFont="1" applyFill="1" applyBorder="1" applyAlignment="1">
      <alignment horizontal="center" vertical="center"/>
    </xf>
    <xf numFmtId="165" fontId="56" fillId="38" borderId="54" xfId="0" applyNumberFormat="1" applyFont="1" applyFill="1" applyBorder="1" applyAlignment="1">
      <alignment horizontal="center" vertical="center"/>
    </xf>
    <xf numFmtId="165" fontId="56" fillId="38" borderId="5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3" fillId="0" borderId="26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39" borderId="0" xfId="0" applyFill="1" applyAlignment="1">
      <alignment/>
    </xf>
    <xf numFmtId="0" fontId="3" fillId="40" borderId="56" xfId="0" applyFont="1" applyFill="1" applyBorder="1" applyAlignment="1">
      <alignment horizontal="center" vertical="center" wrapText="1"/>
    </xf>
    <xf numFmtId="0" fontId="3" fillId="40" borderId="46" xfId="0" applyFont="1" applyFill="1" applyBorder="1" applyAlignment="1">
      <alignment horizontal="center" vertical="center" wrapText="1"/>
    </xf>
    <xf numFmtId="0" fontId="56" fillId="40" borderId="46" xfId="0" applyFont="1" applyFill="1" applyBorder="1" applyAlignment="1">
      <alignment horizontal="center" vertical="center" wrapText="1"/>
    </xf>
    <xf numFmtId="0" fontId="3" fillId="40" borderId="57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2" fillId="41" borderId="38" xfId="0" applyFont="1" applyFill="1" applyBorder="1" applyAlignment="1">
      <alignment vertical="center"/>
    </xf>
    <xf numFmtId="0" fontId="2" fillId="41" borderId="49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165" fontId="2" fillId="41" borderId="11" xfId="0" applyNumberFormat="1" applyFont="1" applyFill="1" applyBorder="1" applyAlignment="1">
      <alignment horizontal="center" vertical="center"/>
    </xf>
    <xf numFmtId="165" fontId="2" fillId="41" borderId="10" xfId="0" applyNumberFormat="1" applyFont="1" applyFill="1" applyBorder="1" applyAlignment="1">
      <alignment horizontal="center" vertical="center"/>
    </xf>
    <xf numFmtId="165" fontId="2" fillId="41" borderId="12" xfId="0" applyNumberFormat="1" applyFont="1" applyFill="1" applyBorder="1" applyAlignment="1">
      <alignment horizontal="center" vertical="center"/>
    </xf>
    <xf numFmtId="165" fontId="0" fillId="41" borderId="0" xfId="0" applyNumberFormat="1" applyFill="1" applyAlignment="1">
      <alignment/>
    </xf>
    <xf numFmtId="0" fontId="0" fillId="41" borderId="0" xfId="0" applyFill="1" applyAlignment="1">
      <alignment/>
    </xf>
    <xf numFmtId="0" fontId="2" fillId="41" borderId="58" xfId="0" applyFont="1" applyFill="1" applyBorder="1" applyAlignment="1">
      <alignment horizontal="center" vertical="center"/>
    </xf>
    <xf numFmtId="165" fontId="2" fillId="41" borderId="59" xfId="0" applyNumberFormat="1" applyFont="1" applyFill="1" applyBorder="1" applyAlignment="1">
      <alignment horizontal="center" vertical="center"/>
    </xf>
    <xf numFmtId="165" fontId="2" fillId="41" borderId="58" xfId="0" applyNumberFormat="1" applyFont="1" applyFill="1" applyBorder="1" applyAlignment="1">
      <alignment horizontal="center" vertical="center"/>
    </xf>
    <xf numFmtId="165" fontId="0" fillId="41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0" fontId="3" fillId="39" borderId="60" xfId="0" applyFont="1" applyFill="1" applyBorder="1" applyAlignment="1">
      <alignment horizontal="center" vertical="center"/>
    </xf>
    <xf numFmtId="165" fontId="3" fillId="39" borderId="61" xfId="0" applyNumberFormat="1" applyFont="1" applyFill="1" applyBorder="1" applyAlignment="1">
      <alignment horizontal="center" vertical="center"/>
    </xf>
    <xf numFmtId="0" fontId="56" fillId="42" borderId="46" xfId="0" applyFont="1" applyFill="1" applyBorder="1" applyAlignment="1">
      <alignment horizontal="center" vertical="center" wrapText="1"/>
    </xf>
    <xf numFmtId="0" fontId="56" fillId="42" borderId="48" xfId="0" applyFont="1" applyFill="1" applyBorder="1" applyAlignment="1">
      <alignment horizontal="center" vertical="center" wrapText="1"/>
    </xf>
    <xf numFmtId="164" fontId="56" fillId="40" borderId="62" xfId="0" applyNumberFormat="1" applyFont="1" applyFill="1" applyBorder="1" applyAlignment="1">
      <alignment horizontal="center" vertical="center" wrapText="1"/>
    </xf>
    <xf numFmtId="164" fontId="56" fillId="40" borderId="48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vertical="center"/>
    </xf>
    <xf numFmtId="0" fontId="0" fillId="39" borderId="64" xfId="0" applyFill="1" applyBorder="1" applyAlignment="1">
      <alignment/>
    </xf>
    <xf numFmtId="164" fontId="3" fillId="4" borderId="46" xfId="0" applyNumberFormat="1" applyFont="1" applyFill="1" applyBorder="1" applyAlignment="1">
      <alignment horizontal="center" vertical="center" wrapText="1"/>
    </xf>
    <xf numFmtId="164" fontId="3" fillId="4" borderId="65" xfId="0" applyNumberFormat="1" applyFont="1" applyFill="1" applyBorder="1" applyAlignment="1">
      <alignment horizontal="center" vertical="center" wrapText="1"/>
    </xf>
    <xf numFmtId="164" fontId="3" fillId="4" borderId="66" xfId="0" applyNumberFormat="1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5" fontId="0" fillId="0" borderId="48" xfId="0" applyNumberFormat="1" applyBorder="1" applyAlignment="1">
      <alignment/>
    </xf>
    <xf numFmtId="0" fontId="6" fillId="43" borderId="26" xfId="0" applyFont="1" applyFill="1" applyBorder="1" applyAlignment="1">
      <alignment vertical="center"/>
    </xf>
    <xf numFmtId="164" fontId="3" fillId="43" borderId="67" xfId="0" applyNumberFormat="1" applyFont="1" applyFill="1" applyBorder="1" applyAlignment="1">
      <alignment horizontal="center" vertical="center" wrapText="1"/>
    </xf>
    <xf numFmtId="165" fontId="2" fillId="43" borderId="30" xfId="0" applyNumberFormat="1" applyFont="1" applyFill="1" applyBorder="1" applyAlignment="1">
      <alignment horizontal="center" vertical="center"/>
    </xf>
    <xf numFmtId="0" fontId="2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165" fontId="2" fillId="44" borderId="3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68" xfId="0" applyFont="1" applyFill="1" applyBorder="1" applyAlignment="1">
      <alignment vertical="center" wrapText="1"/>
    </xf>
    <xf numFmtId="0" fontId="20" fillId="39" borderId="69" xfId="0" applyFont="1" applyFill="1" applyBorder="1" applyAlignment="1">
      <alignment horizontal="right" vertical="center" wrapText="1"/>
    </xf>
    <xf numFmtId="0" fontId="20" fillId="39" borderId="70" xfId="0" applyFont="1" applyFill="1" applyBorder="1" applyAlignment="1">
      <alignment horizontal="right" vertical="center" wrapText="1"/>
    </xf>
    <xf numFmtId="0" fontId="6" fillId="0" borderId="53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8" fillId="38" borderId="69" xfId="0" applyFont="1" applyFill="1" applyBorder="1" applyAlignment="1">
      <alignment horizontal="right" wrapText="1"/>
    </xf>
    <xf numFmtId="0" fontId="18" fillId="38" borderId="70" xfId="0" applyFont="1" applyFill="1" applyBorder="1" applyAlignment="1">
      <alignment horizontal="right" wrapText="1"/>
    </xf>
    <xf numFmtId="0" fontId="9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0" fillId="0" borderId="72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stom 2">
      <a:dk1>
        <a:srgbClr val="3F3F3F"/>
      </a:dk1>
      <a:lt1>
        <a:sysClr val="window" lastClr="FFFFFF"/>
      </a:lt1>
      <a:dk2>
        <a:srgbClr val="7F7F7F"/>
      </a:dk2>
      <a:lt2>
        <a:srgbClr val="D6ECFF"/>
      </a:lt2>
      <a:accent1>
        <a:srgbClr val="7FD13B"/>
      </a:accent1>
      <a:accent2>
        <a:srgbClr val="FEF0CD"/>
      </a:accent2>
      <a:accent3>
        <a:srgbClr val="2B6DF1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="75" zoomScaleNormal="75" workbookViewId="0" topLeftCell="A2">
      <pane ySplit="1428" topLeftCell="A13" activePane="bottomLeft" state="split"/>
      <selection pane="topLeft" activeCell="A2" sqref="A2:H2"/>
      <selection pane="bottomLeft" activeCell="D17" sqref="D17"/>
    </sheetView>
  </sheetViews>
  <sheetFormatPr defaultColWidth="9.140625" defaultRowHeight="12.75"/>
  <cols>
    <col min="1" max="1" width="35.28125" style="0" customWidth="1"/>
    <col min="2" max="2" width="10.8515625" style="0" hidden="1" customWidth="1"/>
    <col min="3" max="3" width="20.421875" style="0" customWidth="1"/>
    <col min="4" max="4" width="30.421875" style="0" customWidth="1"/>
    <col min="5" max="5" width="28.421875" style="0" customWidth="1"/>
    <col min="6" max="6" width="17.8515625" style="0" hidden="1" customWidth="1"/>
    <col min="7" max="7" width="19.57421875" style="0" customWidth="1"/>
    <col min="8" max="8" width="30.7109375" style="0" customWidth="1"/>
    <col min="9" max="9" width="12.7109375" style="0" customWidth="1"/>
    <col min="10" max="11" width="13.28125" style="0" customWidth="1"/>
    <col min="12" max="12" width="13.28125" style="128" customWidth="1"/>
    <col min="13" max="13" width="13.00390625" style="140" customWidth="1"/>
    <col min="14" max="14" width="13.00390625" style="210" hidden="1" customWidth="1"/>
    <col min="15" max="15" width="12.421875" style="0" customWidth="1"/>
    <col min="16" max="16" width="12.7109375" style="0" customWidth="1"/>
    <col min="17" max="17" width="16.00390625" style="0" customWidth="1"/>
    <col min="18" max="22" width="10.8515625" style="0" customWidth="1"/>
    <col min="23" max="23" width="12.8515625" style="0" customWidth="1"/>
    <col min="24" max="24" width="12.28125" style="0" customWidth="1"/>
    <col min="25" max="29" width="10.8515625" style="0" customWidth="1"/>
    <col min="30" max="30" width="12.8515625" style="0" hidden="1" customWidth="1"/>
    <col min="31" max="31" width="18.7109375" style="0" hidden="1" customWidth="1"/>
    <col min="32" max="32" width="18.140625" style="0" customWidth="1"/>
  </cols>
  <sheetData>
    <row r="1" spans="1:31" s="166" customFormat="1" ht="40.5" customHeight="1">
      <c r="A1" s="215" t="s">
        <v>294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193"/>
    </row>
    <row r="2" spans="1:30" ht="40.5" customHeight="1" thickBot="1">
      <c r="A2" s="219" t="s">
        <v>304</v>
      </c>
      <c r="B2" s="220"/>
      <c r="C2" s="220"/>
      <c r="D2" s="220"/>
      <c r="E2" s="220"/>
      <c r="F2" s="220"/>
      <c r="G2" s="220"/>
      <c r="H2" s="221"/>
      <c r="I2" s="217" t="s">
        <v>205</v>
      </c>
      <c r="J2" s="217"/>
      <c r="K2" s="218"/>
      <c r="L2" s="192"/>
      <c r="M2" s="165"/>
      <c r="N2" s="206"/>
      <c r="O2" s="162" t="s">
        <v>204</v>
      </c>
      <c r="P2" s="162"/>
      <c r="Q2" s="192"/>
      <c r="R2" s="162"/>
      <c r="S2" s="162"/>
      <c r="T2" s="162"/>
      <c r="U2" s="162"/>
      <c r="V2" s="162"/>
      <c r="W2" s="162"/>
      <c r="X2" s="163"/>
      <c r="Y2" s="164" t="s">
        <v>166</v>
      </c>
      <c r="Z2" s="163"/>
      <c r="AA2" s="162"/>
      <c r="AB2" s="162"/>
      <c r="AC2" s="165"/>
      <c r="AD2" s="165"/>
    </row>
    <row r="3" spans="1:30" s="171" customFormat="1" ht="57.75" customHeight="1">
      <c r="A3" s="167"/>
      <c r="B3" s="168" t="s">
        <v>143</v>
      </c>
      <c r="C3" s="169" t="s">
        <v>1</v>
      </c>
      <c r="D3" s="169" t="s">
        <v>58</v>
      </c>
      <c r="E3" s="169" t="s">
        <v>13</v>
      </c>
      <c r="F3" s="169" t="s">
        <v>7</v>
      </c>
      <c r="G3" s="190" t="s">
        <v>6</v>
      </c>
      <c r="H3" s="191" t="s">
        <v>14</v>
      </c>
      <c r="I3" s="194" t="s">
        <v>160</v>
      </c>
      <c r="J3" s="194" t="s">
        <v>171</v>
      </c>
      <c r="K3" s="195" t="s">
        <v>179</v>
      </c>
      <c r="L3" s="194" t="s">
        <v>203</v>
      </c>
      <c r="M3" s="196" t="s">
        <v>258</v>
      </c>
      <c r="N3" s="207"/>
      <c r="O3" s="197" t="s">
        <v>2</v>
      </c>
      <c r="P3" s="198" t="s">
        <v>120</v>
      </c>
      <c r="Q3" s="197" t="s">
        <v>175</v>
      </c>
      <c r="R3" s="197" t="s">
        <v>3</v>
      </c>
      <c r="S3" s="197" t="s">
        <v>4</v>
      </c>
      <c r="T3" s="197" t="s">
        <v>141</v>
      </c>
      <c r="U3" s="198" t="s">
        <v>178</v>
      </c>
      <c r="V3" s="197" t="s">
        <v>5</v>
      </c>
      <c r="W3" s="198" t="s">
        <v>260</v>
      </c>
      <c r="X3" s="188" t="s">
        <v>156</v>
      </c>
      <c r="Y3" s="188" t="s">
        <v>159</v>
      </c>
      <c r="Z3" s="188" t="s">
        <v>172</v>
      </c>
      <c r="AA3" s="188" t="s">
        <v>177</v>
      </c>
      <c r="AB3" s="188" t="s">
        <v>186</v>
      </c>
      <c r="AC3" s="189" t="s">
        <v>259</v>
      </c>
      <c r="AD3" s="170" t="s">
        <v>156</v>
      </c>
    </row>
    <row r="4" spans="1:32" ht="19.5" customHeight="1">
      <c r="A4" s="159" t="s">
        <v>301</v>
      </c>
      <c r="B4" s="137"/>
      <c r="C4" s="158" t="s">
        <v>90</v>
      </c>
      <c r="D4" s="158" t="s">
        <v>67</v>
      </c>
      <c r="E4" s="9" t="s">
        <v>302</v>
      </c>
      <c r="F4" s="135"/>
      <c r="G4" s="160" t="s">
        <v>303</v>
      </c>
      <c r="H4" s="132">
        <f aca="true" t="shared" si="0" ref="H4:H9">SUM(I4:M4)</f>
        <v>1000</v>
      </c>
      <c r="I4" s="129">
        <v>500</v>
      </c>
      <c r="J4" s="129">
        <v>500</v>
      </c>
      <c r="K4" s="129"/>
      <c r="L4" s="129"/>
      <c r="M4" s="130"/>
      <c r="N4" s="208">
        <f aca="true" t="shared" si="1" ref="N4:N35">+SUM(O4:X4)</f>
        <v>1000</v>
      </c>
      <c r="O4" s="129"/>
      <c r="P4" s="129"/>
      <c r="Q4" s="129"/>
      <c r="R4" s="129"/>
      <c r="S4" s="129"/>
      <c r="T4" s="129"/>
      <c r="U4" s="129">
        <f>450+450</f>
        <v>900</v>
      </c>
      <c r="V4" s="129"/>
      <c r="W4" s="129"/>
      <c r="X4" s="129">
        <f aca="true" t="shared" si="2" ref="X4:X9">Y4+Z4+AA4+AB4+AC4</f>
        <v>100</v>
      </c>
      <c r="Y4" s="129">
        <v>50</v>
      </c>
      <c r="Z4" s="129">
        <v>50</v>
      </c>
      <c r="AA4" s="129"/>
      <c r="AB4" s="129"/>
      <c r="AC4" s="130"/>
      <c r="AD4" s="141"/>
      <c r="AE4" s="7"/>
      <c r="AF4" s="7"/>
    </row>
    <row r="5" spans="1:32" ht="19.5" customHeight="1">
      <c r="A5" s="138" t="s">
        <v>167</v>
      </c>
      <c r="B5" s="137">
        <v>8</v>
      </c>
      <c r="C5" s="133" t="s">
        <v>90</v>
      </c>
      <c r="D5" s="133" t="s">
        <v>67</v>
      </c>
      <c r="E5" s="134" t="s">
        <v>19</v>
      </c>
      <c r="F5" s="135">
        <v>7</v>
      </c>
      <c r="G5" s="160" t="s">
        <v>207</v>
      </c>
      <c r="H5" s="132">
        <f t="shared" si="0"/>
        <v>1625</v>
      </c>
      <c r="I5" s="129">
        <v>325</v>
      </c>
      <c r="J5" s="129">
        <v>325</v>
      </c>
      <c r="K5" s="129">
        <v>325</v>
      </c>
      <c r="L5" s="129">
        <v>325</v>
      </c>
      <c r="M5" s="130">
        <v>325</v>
      </c>
      <c r="N5" s="208">
        <f t="shared" si="1"/>
        <v>1625</v>
      </c>
      <c r="O5" s="129"/>
      <c r="P5" s="129"/>
      <c r="Q5" s="129"/>
      <c r="R5" s="129"/>
      <c r="S5" s="129"/>
      <c r="T5" s="129"/>
      <c r="U5" s="129"/>
      <c r="V5" s="129"/>
      <c r="W5" s="129"/>
      <c r="X5" s="129">
        <f t="shared" si="2"/>
        <v>1625</v>
      </c>
      <c r="Y5" s="129">
        <v>325</v>
      </c>
      <c r="Z5" s="129">
        <v>325</v>
      </c>
      <c r="AA5" s="129">
        <v>325</v>
      </c>
      <c r="AB5" s="129">
        <v>325</v>
      </c>
      <c r="AC5" s="130">
        <v>325</v>
      </c>
      <c r="AD5" s="141">
        <f>AC5+AA5+Z5+AB5+Y5</f>
        <v>1625</v>
      </c>
      <c r="AE5" s="7"/>
      <c r="AF5" s="7"/>
    </row>
    <row r="6" spans="1:32" ht="19.5" customHeight="1">
      <c r="A6" s="138" t="s">
        <v>168</v>
      </c>
      <c r="B6" s="137">
        <v>9</v>
      </c>
      <c r="C6" s="133" t="s">
        <v>169</v>
      </c>
      <c r="D6" s="133" t="s">
        <v>42</v>
      </c>
      <c r="E6" s="133" t="s">
        <v>170</v>
      </c>
      <c r="F6" s="136">
        <v>7</v>
      </c>
      <c r="G6" s="160" t="s">
        <v>207</v>
      </c>
      <c r="H6" s="132">
        <f t="shared" si="0"/>
        <v>375</v>
      </c>
      <c r="I6" s="131">
        <f>75</f>
        <v>75</v>
      </c>
      <c r="J6" s="131">
        <v>75</v>
      </c>
      <c r="K6" s="131">
        <v>75</v>
      </c>
      <c r="L6" s="131">
        <v>75</v>
      </c>
      <c r="M6" s="132">
        <v>75</v>
      </c>
      <c r="N6" s="208">
        <f t="shared" si="1"/>
        <v>375</v>
      </c>
      <c r="O6" s="129"/>
      <c r="P6" s="129"/>
      <c r="Q6" s="129"/>
      <c r="R6" s="129"/>
      <c r="S6" s="129"/>
      <c r="T6" s="129"/>
      <c r="U6" s="129"/>
      <c r="V6" s="129"/>
      <c r="W6" s="129"/>
      <c r="X6" s="129">
        <f t="shared" si="2"/>
        <v>375</v>
      </c>
      <c r="Y6" s="131">
        <f>75</f>
        <v>75</v>
      </c>
      <c r="Z6" s="131">
        <v>75</v>
      </c>
      <c r="AA6" s="131">
        <v>75</v>
      </c>
      <c r="AB6" s="131">
        <v>75</v>
      </c>
      <c r="AC6" s="132">
        <v>75</v>
      </c>
      <c r="AD6" s="141">
        <f>AC6+AA6+Z6+AB6+Y6</f>
        <v>375</v>
      </c>
      <c r="AE6" s="7"/>
      <c r="AF6" s="7"/>
    </row>
    <row r="7" spans="1:32" ht="19.5" customHeight="1">
      <c r="A7" s="138" t="s">
        <v>22</v>
      </c>
      <c r="B7" s="137">
        <v>17</v>
      </c>
      <c r="C7" s="133" t="s">
        <v>42</v>
      </c>
      <c r="D7" s="133" t="s">
        <v>67</v>
      </c>
      <c r="E7" s="133" t="s">
        <v>48</v>
      </c>
      <c r="F7" s="136">
        <v>8</v>
      </c>
      <c r="G7" s="160" t="s">
        <v>207</v>
      </c>
      <c r="H7" s="132">
        <f t="shared" si="0"/>
        <v>0</v>
      </c>
      <c r="I7" s="129">
        <v>0</v>
      </c>
      <c r="J7" s="129">
        <v>0</v>
      </c>
      <c r="K7" s="129">
        <v>0</v>
      </c>
      <c r="L7" s="129">
        <v>0</v>
      </c>
      <c r="M7" s="130">
        <v>0</v>
      </c>
      <c r="N7" s="208">
        <f t="shared" si="1"/>
        <v>0</v>
      </c>
      <c r="O7" s="129"/>
      <c r="P7" s="129"/>
      <c r="Q7" s="129"/>
      <c r="R7" s="129"/>
      <c r="S7" s="129"/>
      <c r="T7" s="129"/>
      <c r="U7" s="129"/>
      <c r="V7" s="129"/>
      <c r="W7" s="129"/>
      <c r="X7" s="129">
        <f t="shared" si="2"/>
        <v>0</v>
      </c>
      <c r="Y7" s="129">
        <v>0</v>
      </c>
      <c r="Z7" s="129">
        <v>0</v>
      </c>
      <c r="AA7" s="129">
        <v>0</v>
      </c>
      <c r="AB7" s="129">
        <v>0</v>
      </c>
      <c r="AC7" s="130">
        <v>0</v>
      </c>
      <c r="AD7" s="141">
        <f>AC7+AA7+Z7+AB7+Y7</f>
        <v>0</v>
      </c>
      <c r="AE7" s="7"/>
      <c r="AF7" s="7"/>
    </row>
    <row r="8" spans="1:32" ht="19.5" customHeight="1">
      <c r="A8" s="138" t="s">
        <v>163</v>
      </c>
      <c r="B8" s="137">
        <v>42</v>
      </c>
      <c r="C8" s="133" t="s">
        <v>42</v>
      </c>
      <c r="D8" s="133" t="s">
        <v>67</v>
      </c>
      <c r="E8" s="134" t="s">
        <v>48</v>
      </c>
      <c r="F8" s="135">
        <v>8</v>
      </c>
      <c r="G8" s="160" t="s">
        <v>207</v>
      </c>
      <c r="H8" s="132">
        <f t="shared" si="0"/>
        <v>250</v>
      </c>
      <c r="I8" s="129">
        <v>50</v>
      </c>
      <c r="J8" s="129">
        <v>50</v>
      </c>
      <c r="K8" s="129">
        <v>50</v>
      </c>
      <c r="L8" s="129">
        <v>50</v>
      </c>
      <c r="M8" s="130">
        <v>50</v>
      </c>
      <c r="N8" s="208">
        <f t="shared" si="1"/>
        <v>250</v>
      </c>
      <c r="O8" s="129"/>
      <c r="P8" s="129"/>
      <c r="Q8" s="129"/>
      <c r="R8" s="129"/>
      <c r="S8" s="129"/>
      <c r="T8" s="129"/>
      <c r="U8" s="129"/>
      <c r="V8" s="129"/>
      <c r="W8" s="129"/>
      <c r="X8" s="129">
        <f t="shared" si="2"/>
        <v>250</v>
      </c>
      <c r="Y8" s="129">
        <v>50</v>
      </c>
      <c r="Z8" s="129">
        <v>50</v>
      </c>
      <c r="AA8" s="129">
        <v>50</v>
      </c>
      <c r="AB8" s="129">
        <v>50</v>
      </c>
      <c r="AC8" s="130">
        <v>50</v>
      </c>
      <c r="AD8" s="141">
        <f>AC8+AA8+Z8+AB8+Y8</f>
        <v>250</v>
      </c>
      <c r="AE8" s="7"/>
      <c r="AF8" s="7"/>
    </row>
    <row r="9" spans="1:32" ht="19.5" customHeight="1">
      <c r="A9" s="138" t="s">
        <v>25</v>
      </c>
      <c r="B9" s="137">
        <v>21</v>
      </c>
      <c r="C9" s="133" t="s">
        <v>42</v>
      </c>
      <c r="D9" s="133" t="s">
        <v>67</v>
      </c>
      <c r="E9" s="134" t="s">
        <v>48</v>
      </c>
      <c r="F9" s="135">
        <v>8</v>
      </c>
      <c r="G9" s="160" t="s">
        <v>207</v>
      </c>
      <c r="H9" s="132">
        <f t="shared" si="0"/>
        <v>600</v>
      </c>
      <c r="I9" s="129">
        <v>300</v>
      </c>
      <c r="J9" s="129">
        <v>300</v>
      </c>
      <c r="K9" s="129">
        <v>0</v>
      </c>
      <c r="L9" s="129">
        <v>0</v>
      </c>
      <c r="M9" s="132">
        <v>0</v>
      </c>
      <c r="N9" s="208">
        <f t="shared" si="1"/>
        <v>600</v>
      </c>
      <c r="O9" s="129"/>
      <c r="P9" s="129"/>
      <c r="Q9" s="129"/>
      <c r="R9" s="129"/>
      <c r="S9" s="129"/>
      <c r="T9" s="129"/>
      <c r="U9" s="129"/>
      <c r="V9" s="129"/>
      <c r="W9" s="129"/>
      <c r="X9" s="129">
        <f t="shared" si="2"/>
        <v>600</v>
      </c>
      <c r="Y9" s="129">
        <v>300</v>
      </c>
      <c r="Z9" s="129">
        <v>300</v>
      </c>
      <c r="AA9" s="129">
        <v>0</v>
      </c>
      <c r="AB9" s="129">
        <v>0</v>
      </c>
      <c r="AC9" s="130">
        <v>0</v>
      </c>
      <c r="AD9" s="141">
        <f>AC9+AA9+Z9+AB9+Y9</f>
        <v>600</v>
      </c>
      <c r="AE9" s="7"/>
      <c r="AF9" s="7"/>
    </row>
    <row r="10" spans="1:32" s="180" customFormat="1" ht="12" customHeight="1">
      <c r="A10" s="172"/>
      <c r="B10" s="173"/>
      <c r="C10" s="174"/>
      <c r="D10" s="174"/>
      <c r="E10" s="174"/>
      <c r="F10" s="175"/>
      <c r="G10" s="175"/>
      <c r="H10" s="176"/>
      <c r="I10" s="177"/>
      <c r="J10" s="177"/>
      <c r="K10" s="177"/>
      <c r="L10" s="177"/>
      <c r="M10" s="176"/>
      <c r="N10" s="208">
        <f t="shared" si="1"/>
        <v>0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6"/>
      <c r="AD10" s="178"/>
      <c r="AE10" s="179"/>
      <c r="AF10" s="179"/>
    </row>
    <row r="11" spans="1:32" s="127" customFormat="1" ht="19.5" customHeight="1">
      <c r="A11" s="159" t="s">
        <v>210</v>
      </c>
      <c r="B11" s="137"/>
      <c r="C11" s="158" t="s">
        <v>46</v>
      </c>
      <c r="D11" s="158" t="s">
        <v>211</v>
      </c>
      <c r="E11" s="158" t="s">
        <v>49</v>
      </c>
      <c r="F11" s="136">
        <v>8</v>
      </c>
      <c r="G11" s="136">
        <v>2014</v>
      </c>
      <c r="H11" s="132">
        <v>1142</v>
      </c>
      <c r="I11" s="131">
        <v>900</v>
      </c>
      <c r="J11" s="131">
        <v>242</v>
      </c>
      <c r="K11" s="131"/>
      <c r="L11" s="131"/>
      <c r="M11" s="132"/>
      <c r="N11" s="208">
        <f t="shared" si="1"/>
        <v>1142</v>
      </c>
      <c r="O11" s="131"/>
      <c r="P11" s="131"/>
      <c r="Q11" s="131"/>
      <c r="R11" s="131"/>
      <c r="S11" s="131"/>
      <c r="T11" s="131"/>
      <c r="U11" s="131">
        <v>763</v>
      </c>
      <c r="V11" s="131">
        <v>379</v>
      </c>
      <c r="W11" s="131"/>
      <c r="X11" s="131">
        <f>Y11+Z11+AA11+AB11+AC11</f>
        <v>0</v>
      </c>
      <c r="Y11" s="131">
        <v>0</v>
      </c>
      <c r="Z11" s="131"/>
      <c r="AA11" s="131"/>
      <c r="AB11" s="131"/>
      <c r="AC11" s="132"/>
      <c r="AD11" s="142"/>
      <c r="AE11" s="148" t="s">
        <v>291</v>
      </c>
      <c r="AF11" s="126"/>
    </row>
    <row r="12" spans="1:32" s="127" customFormat="1" ht="19.5" customHeight="1">
      <c r="A12" s="159" t="s">
        <v>232</v>
      </c>
      <c r="B12" s="137"/>
      <c r="C12" s="158" t="s">
        <v>44</v>
      </c>
      <c r="D12" s="158" t="s">
        <v>233</v>
      </c>
      <c r="E12" s="158" t="s">
        <v>49</v>
      </c>
      <c r="F12" s="136"/>
      <c r="G12" s="136">
        <v>2014</v>
      </c>
      <c r="H12" s="132">
        <v>1876</v>
      </c>
      <c r="I12" s="131">
        <v>1500</v>
      </c>
      <c r="J12" s="131">
        <v>376</v>
      </c>
      <c r="K12" s="131"/>
      <c r="L12" s="131"/>
      <c r="M12" s="132"/>
      <c r="N12" s="208">
        <f t="shared" si="1"/>
        <v>1876</v>
      </c>
      <c r="O12" s="131"/>
      <c r="P12" s="131"/>
      <c r="Q12" s="131"/>
      <c r="R12" s="131"/>
      <c r="S12" s="131"/>
      <c r="T12" s="131"/>
      <c r="U12" s="131">
        <v>1065</v>
      </c>
      <c r="V12" s="131">
        <v>811</v>
      </c>
      <c r="W12" s="131"/>
      <c r="X12" s="131">
        <f>Y12+Z12+AA12+AB12+AC12</f>
        <v>0</v>
      </c>
      <c r="Y12" s="131">
        <v>0</v>
      </c>
      <c r="Z12" s="131"/>
      <c r="AA12" s="131"/>
      <c r="AB12" s="131"/>
      <c r="AC12" s="132"/>
      <c r="AD12" s="142"/>
      <c r="AE12" s="126" t="s">
        <v>274</v>
      </c>
      <c r="AF12" s="126"/>
    </row>
    <row r="13" spans="1:32" s="127" customFormat="1" ht="19.5" customHeight="1">
      <c r="A13" s="159" t="s">
        <v>208</v>
      </c>
      <c r="B13" s="137">
        <v>7</v>
      </c>
      <c r="C13" s="133" t="s">
        <v>42</v>
      </c>
      <c r="D13" s="158" t="s">
        <v>209</v>
      </c>
      <c r="E13" s="133" t="s">
        <v>49</v>
      </c>
      <c r="F13" s="136">
        <v>8</v>
      </c>
      <c r="G13" s="136">
        <v>2015</v>
      </c>
      <c r="H13" s="132">
        <f>SUM(I13:M13)</f>
        <v>90</v>
      </c>
      <c r="I13" s="131"/>
      <c r="J13" s="131">
        <v>90</v>
      </c>
      <c r="K13" s="131"/>
      <c r="L13" s="131"/>
      <c r="M13" s="132"/>
      <c r="N13" s="208">
        <f t="shared" si="1"/>
        <v>90</v>
      </c>
      <c r="O13" s="131"/>
      <c r="P13" s="131"/>
      <c r="Q13" s="131"/>
      <c r="R13" s="131"/>
      <c r="S13" s="131"/>
      <c r="T13" s="131"/>
      <c r="U13" s="131"/>
      <c r="V13" s="157"/>
      <c r="W13" s="131">
        <v>90</v>
      </c>
      <c r="X13" s="131">
        <f>Y13+Z13+AA13+AB13+AC13</f>
        <v>0</v>
      </c>
      <c r="Y13" s="131"/>
      <c r="Z13" s="131">
        <v>0</v>
      </c>
      <c r="AA13" s="131"/>
      <c r="AB13" s="131"/>
      <c r="AC13" s="132"/>
      <c r="AD13" s="142">
        <f>AC13+AA13+Z13+AB13+Y13</f>
        <v>0</v>
      </c>
      <c r="AE13" s="126"/>
      <c r="AF13" s="126"/>
    </row>
    <row r="14" spans="1:32" s="180" customFormat="1" ht="12" customHeight="1">
      <c r="A14" s="172"/>
      <c r="B14" s="173"/>
      <c r="C14" s="174"/>
      <c r="D14" s="174"/>
      <c r="E14" s="174"/>
      <c r="F14" s="175"/>
      <c r="G14" s="175"/>
      <c r="H14" s="176"/>
      <c r="I14" s="177"/>
      <c r="J14" s="177"/>
      <c r="K14" s="177"/>
      <c r="L14" s="177"/>
      <c r="M14" s="176"/>
      <c r="N14" s="208">
        <f t="shared" si="1"/>
        <v>0</v>
      </c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6"/>
      <c r="AD14" s="178"/>
      <c r="AE14" s="179"/>
      <c r="AF14" s="179"/>
    </row>
    <row r="15" spans="1:32" ht="19.5" customHeight="1">
      <c r="A15" s="138" t="s">
        <v>162</v>
      </c>
      <c r="B15" s="137">
        <v>15</v>
      </c>
      <c r="C15" s="133" t="s">
        <v>42</v>
      </c>
      <c r="D15" s="133" t="s">
        <v>67</v>
      </c>
      <c r="E15" s="133" t="s">
        <v>50</v>
      </c>
      <c r="F15" s="136">
        <v>8</v>
      </c>
      <c r="G15" s="161" t="s">
        <v>207</v>
      </c>
      <c r="H15" s="132">
        <f aca="true" t="shared" si="3" ref="H15:H24">SUM(I15:M15)</f>
        <v>450</v>
      </c>
      <c r="I15" s="129">
        <v>0</v>
      </c>
      <c r="J15" s="129">
        <v>0</v>
      </c>
      <c r="K15" s="129">
        <v>150</v>
      </c>
      <c r="L15" s="129">
        <v>150</v>
      </c>
      <c r="M15" s="130">
        <v>150</v>
      </c>
      <c r="N15" s="208">
        <f t="shared" si="1"/>
        <v>450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>
        <f aca="true" t="shared" si="4" ref="X15:X24">Y15+Z15+AA15+AB15+AC15</f>
        <v>450</v>
      </c>
      <c r="Y15" s="129">
        <v>0</v>
      </c>
      <c r="Z15" s="129">
        <v>0</v>
      </c>
      <c r="AA15" s="129">
        <v>150</v>
      </c>
      <c r="AB15" s="129">
        <v>150</v>
      </c>
      <c r="AC15" s="130">
        <v>150</v>
      </c>
      <c r="AD15" s="141">
        <f>AC15+AA15+Z15+AB15+Y15</f>
        <v>450</v>
      </c>
      <c r="AE15" s="7" t="s">
        <v>268</v>
      </c>
      <c r="AF15" s="7"/>
    </row>
    <row r="16" spans="1:32" ht="19.5" customHeight="1">
      <c r="A16" s="159" t="s">
        <v>196</v>
      </c>
      <c r="B16" s="137"/>
      <c r="C16" s="158" t="s">
        <v>180</v>
      </c>
      <c r="D16" s="158" t="s">
        <v>198</v>
      </c>
      <c r="E16" s="158" t="s">
        <v>50</v>
      </c>
      <c r="F16" s="136">
        <v>9</v>
      </c>
      <c r="G16" s="161">
        <v>2014</v>
      </c>
      <c r="H16" s="132">
        <f t="shared" si="3"/>
        <v>950</v>
      </c>
      <c r="I16" s="129">
        <v>950</v>
      </c>
      <c r="J16" s="129"/>
      <c r="K16" s="129"/>
      <c r="L16" s="129"/>
      <c r="M16" s="130"/>
      <c r="N16" s="208">
        <f t="shared" si="1"/>
        <v>950</v>
      </c>
      <c r="O16" s="129"/>
      <c r="P16" s="129"/>
      <c r="Q16" s="129">
        <v>790</v>
      </c>
      <c r="R16" s="129"/>
      <c r="S16" s="129"/>
      <c r="T16" s="129"/>
      <c r="U16" s="129"/>
      <c r="V16" s="129">
        <v>80</v>
      </c>
      <c r="W16" s="129"/>
      <c r="X16" s="129">
        <f t="shared" si="4"/>
        <v>80</v>
      </c>
      <c r="Y16" s="129">
        <v>80</v>
      </c>
      <c r="Z16" s="129"/>
      <c r="AA16" s="129"/>
      <c r="AB16" s="129"/>
      <c r="AC16" s="130"/>
      <c r="AD16" s="141"/>
      <c r="AE16" s="204" t="s">
        <v>276</v>
      </c>
      <c r="AF16" s="7"/>
    </row>
    <row r="17" spans="1:32" s="127" customFormat="1" ht="19.5" customHeight="1">
      <c r="A17" s="159" t="s">
        <v>213</v>
      </c>
      <c r="B17" s="137"/>
      <c r="C17" s="158" t="s">
        <v>114</v>
      </c>
      <c r="D17" s="158" t="s">
        <v>73</v>
      </c>
      <c r="E17" s="158" t="s">
        <v>299</v>
      </c>
      <c r="F17" s="136"/>
      <c r="G17" s="161">
        <v>2014</v>
      </c>
      <c r="H17" s="132">
        <f t="shared" si="3"/>
        <v>440</v>
      </c>
      <c r="I17" s="131">
        <v>440</v>
      </c>
      <c r="J17" s="131"/>
      <c r="K17" s="131"/>
      <c r="L17" s="131"/>
      <c r="M17" s="132"/>
      <c r="N17" s="208">
        <f t="shared" si="1"/>
        <v>440</v>
      </c>
      <c r="O17" s="131"/>
      <c r="P17" s="131"/>
      <c r="Q17" s="2"/>
      <c r="R17" s="131">
        <v>320</v>
      </c>
      <c r="S17" s="131"/>
      <c r="T17" s="131"/>
      <c r="U17" s="131"/>
      <c r="V17" s="131"/>
      <c r="W17" s="131"/>
      <c r="X17" s="129">
        <f t="shared" si="4"/>
        <v>120</v>
      </c>
      <c r="Y17" s="131">
        <f>80+400*0.1</f>
        <v>120</v>
      </c>
      <c r="Z17" s="131"/>
      <c r="AA17" s="131"/>
      <c r="AB17" s="131"/>
      <c r="AC17" s="132"/>
      <c r="AD17" s="142"/>
      <c r="AE17" s="148" t="s">
        <v>279</v>
      </c>
      <c r="AF17" s="126"/>
    </row>
    <row r="18" spans="1:32" s="127" customFormat="1" ht="19.5" customHeight="1">
      <c r="A18" s="159" t="s">
        <v>297</v>
      </c>
      <c r="B18" s="137"/>
      <c r="C18" s="158" t="s">
        <v>214</v>
      </c>
      <c r="D18" s="158" t="s">
        <v>215</v>
      </c>
      <c r="E18" s="158" t="s">
        <v>50</v>
      </c>
      <c r="F18" s="136"/>
      <c r="G18" s="199">
        <v>2014</v>
      </c>
      <c r="H18" s="132">
        <f t="shared" si="3"/>
        <v>200</v>
      </c>
      <c r="I18" s="131">
        <v>200</v>
      </c>
      <c r="J18" s="131"/>
      <c r="K18" s="131"/>
      <c r="L18" s="131"/>
      <c r="M18" s="132"/>
      <c r="N18" s="211">
        <f t="shared" si="1"/>
        <v>200</v>
      </c>
      <c r="O18" s="131"/>
      <c r="P18" s="131"/>
      <c r="Q18" s="212"/>
      <c r="R18" s="131"/>
      <c r="S18" s="131"/>
      <c r="T18" s="131"/>
      <c r="U18" s="131"/>
      <c r="V18" s="131">
        <v>100</v>
      </c>
      <c r="W18" s="131"/>
      <c r="X18" s="131">
        <f t="shared" si="4"/>
        <v>100</v>
      </c>
      <c r="Y18" s="131">
        <v>100</v>
      </c>
      <c r="Z18" s="131"/>
      <c r="AA18" s="131"/>
      <c r="AB18" s="131"/>
      <c r="AC18" s="132"/>
      <c r="AD18" s="142"/>
      <c r="AE18" s="126" t="s">
        <v>269</v>
      </c>
      <c r="AF18" s="126"/>
    </row>
    <row r="19" spans="1:32" s="127" customFormat="1" ht="19.5" customHeight="1">
      <c r="A19" s="159" t="s">
        <v>298</v>
      </c>
      <c r="B19" s="137"/>
      <c r="C19" s="158" t="s">
        <v>238</v>
      </c>
      <c r="D19" s="158" t="s">
        <v>239</v>
      </c>
      <c r="E19" s="158" t="s">
        <v>50</v>
      </c>
      <c r="F19" s="136"/>
      <c r="G19" s="161">
        <v>2014</v>
      </c>
      <c r="H19" s="132">
        <f>SUM(J19:M19)</f>
        <v>275</v>
      </c>
      <c r="J19" s="131">
        <v>275</v>
      </c>
      <c r="K19" s="131"/>
      <c r="L19" s="131"/>
      <c r="M19" s="132"/>
      <c r="N19" s="211">
        <f t="shared" si="1"/>
        <v>275</v>
      </c>
      <c r="O19" s="131"/>
      <c r="P19" s="131"/>
      <c r="Q19" s="131"/>
      <c r="R19" s="131"/>
      <c r="S19" s="131"/>
      <c r="T19" s="131"/>
      <c r="U19" s="131">
        <v>25</v>
      </c>
      <c r="V19" s="131"/>
      <c r="W19" s="131"/>
      <c r="X19" s="131">
        <f t="shared" si="4"/>
        <v>250</v>
      </c>
      <c r="Y19" s="131"/>
      <c r="Z19" s="131">
        <v>250</v>
      </c>
      <c r="AA19" s="131"/>
      <c r="AB19" s="131"/>
      <c r="AC19" s="132"/>
      <c r="AD19" s="142"/>
      <c r="AE19" s="148" t="s">
        <v>278</v>
      </c>
      <c r="AF19" s="126"/>
    </row>
    <row r="20" spans="1:32" s="127" customFormat="1" ht="19.5" customHeight="1">
      <c r="A20" s="159" t="s">
        <v>199</v>
      </c>
      <c r="B20" s="137"/>
      <c r="C20" s="158" t="s">
        <v>180</v>
      </c>
      <c r="D20" s="158" t="s">
        <v>198</v>
      </c>
      <c r="E20" s="158" t="s">
        <v>50</v>
      </c>
      <c r="F20" s="136">
        <v>9</v>
      </c>
      <c r="G20" s="199">
        <v>2015</v>
      </c>
      <c r="H20" s="132">
        <f t="shared" si="3"/>
        <v>1250</v>
      </c>
      <c r="I20" s="131">
        <v>100</v>
      </c>
      <c r="J20" s="131">
        <v>1150</v>
      </c>
      <c r="K20" s="131"/>
      <c r="L20" s="131"/>
      <c r="M20" s="132"/>
      <c r="N20" s="208">
        <f t="shared" si="1"/>
        <v>1250</v>
      </c>
      <c r="O20" s="131"/>
      <c r="P20" s="131"/>
      <c r="Q20" s="131">
        <v>950</v>
      </c>
      <c r="R20" s="131"/>
      <c r="S20" s="131"/>
      <c r="T20" s="131"/>
      <c r="U20" s="131"/>
      <c r="V20" s="131"/>
      <c r="W20" s="131"/>
      <c r="X20" s="131">
        <f t="shared" si="4"/>
        <v>300</v>
      </c>
      <c r="Y20" s="131">
        <v>100</v>
      </c>
      <c r="Z20" s="131">
        <f>50+150</f>
        <v>200</v>
      </c>
      <c r="AA20" s="131"/>
      <c r="AB20" s="131"/>
      <c r="AC20" s="132"/>
      <c r="AD20" s="142"/>
      <c r="AE20" s="148" t="s">
        <v>277</v>
      </c>
      <c r="AF20" s="126"/>
    </row>
    <row r="21" spans="1:32" s="127" customFormat="1" ht="19.5" customHeight="1">
      <c r="A21" s="159" t="s">
        <v>199</v>
      </c>
      <c r="B21" s="137"/>
      <c r="C21" s="158" t="s">
        <v>180</v>
      </c>
      <c r="D21" s="158" t="s">
        <v>212</v>
      </c>
      <c r="E21" s="158" t="s">
        <v>50</v>
      </c>
      <c r="F21" s="136">
        <v>9</v>
      </c>
      <c r="G21" s="161">
        <v>2015</v>
      </c>
      <c r="H21" s="132">
        <f t="shared" si="3"/>
        <v>1073</v>
      </c>
      <c r="I21" s="131">
        <v>85</v>
      </c>
      <c r="J21" s="131">
        <v>988</v>
      </c>
      <c r="K21" s="131"/>
      <c r="L21" s="131"/>
      <c r="M21" s="132"/>
      <c r="N21" s="208">
        <f t="shared" si="1"/>
        <v>1073</v>
      </c>
      <c r="O21" s="131"/>
      <c r="P21" s="131"/>
      <c r="Q21" s="131"/>
      <c r="R21" s="131"/>
      <c r="S21" s="131"/>
      <c r="T21" s="131"/>
      <c r="U21" s="131"/>
      <c r="V21" s="131"/>
      <c r="W21" s="131">
        <v>688</v>
      </c>
      <c r="X21" s="131">
        <f t="shared" si="4"/>
        <v>385</v>
      </c>
      <c r="Y21" s="131">
        <v>85</v>
      </c>
      <c r="Z21" s="131">
        <f>172+128</f>
        <v>300</v>
      </c>
      <c r="AA21" s="131"/>
      <c r="AB21" s="131"/>
      <c r="AC21" s="132"/>
      <c r="AD21" s="142"/>
      <c r="AE21" s="148" t="s">
        <v>276</v>
      </c>
      <c r="AF21" s="126"/>
    </row>
    <row r="22" spans="1:32" s="127" customFormat="1" ht="19.5" customHeight="1">
      <c r="A22" s="159" t="s">
        <v>293</v>
      </c>
      <c r="B22" s="137"/>
      <c r="C22" s="158" t="s">
        <v>105</v>
      </c>
      <c r="D22" s="158" t="s">
        <v>71</v>
      </c>
      <c r="E22" s="158" t="s">
        <v>299</v>
      </c>
      <c r="F22" s="136"/>
      <c r="G22" s="161">
        <v>2015</v>
      </c>
      <c r="H22" s="132">
        <f t="shared" si="3"/>
        <v>592</v>
      </c>
      <c r="I22" s="131"/>
      <c r="J22" s="131">
        <v>592</v>
      </c>
      <c r="K22" s="131"/>
      <c r="L22" s="131"/>
      <c r="M22" s="132"/>
      <c r="N22" s="208">
        <f t="shared" si="1"/>
        <v>592.25</v>
      </c>
      <c r="O22" s="131"/>
      <c r="P22" s="131"/>
      <c r="Q22" s="131">
        <v>489</v>
      </c>
      <c r="R22" s="131"/>
      <c r="S22" s="131"/>
      <c r="T22" s="131"/>
      <c r="U22" s="131"/>
      <c r="V22" s="131"/>
      <c r="W22" s="131"/>
      <c r="X22" s="131">
        <f t="shared" si="4"/>
        <v>103.25</v>
      </c>
      <c r="Y22" s="131"/>
      <c r="Z22" s="131">
        <f>26+515*0.15</f>
        <v>103.25</v>
      </c>
      <c r="AA22" s="131"/>
      <c r="AB22" s="131"/>
      <c r="AC22" s="132"/>
      <c r="AD22" s="142"/>
      <c r="AE22" s="148" t="s">
        <v>276</v>
      </c>
      <c r="AF22" s="126"/>
    </row>
    <row r="23" spans="1:32" s="127" customFormat="1" ht="19.5" customHeight="1">
      <c r="A23" s="159" t="s">
        <v>275</v>
      </c>
      <c r="B23" s="137"/>
      <c r="C23" s="158" t="s">
        <v>78</v>
      </c>
      <c r="D23" s="158" t="s">
        <v>71</v>
      </c>
      <c r="E23" s="158" t="s">
        <v>299</v>
      </c>
      <c r="F23" s="136"/>
      <c r="G23" s="161">
        <v>2015</v>
      </c>
      <c r="H23" s="132">
        <f t="shared" si="3"/>
        <v>270</v>
      </c>
      <c r="I23" s="131"/>
      <c r="J23" s="131">
        <v>270</v>
      </c>
      <c r="K23" s="131"/>
      <c r="L23" s="131"/>
      <c r="M23" s="132"/>
      <c r="N23" s="208">
        <f t="shared" si="1"/>
        <v>270.25</v>
      </c>
      <c r="O23" s="131"/>
      <c r="P23" s="131"/>
      <c r="Q23" s="131">
        <v>223</v>
      </c>
      <c r="R23" s="131"/>
      <c r="S23" s="131"/>
      <c r="T23" s="131"/>
      <c r="U23" s="131"/>
      <c r="V23" s="131"/>
      <c r="W23" s="131"/>
      <c r="X23" s="131">
        <f t="shared" si="4"/>
        <v>47.25</v>
      </c>
      <c r="Y23" s="131"/>
      <c r="Z23" s="131">
        <f>12+235*0.15</f>
        <v>47.25</v>
      </c>
      <c r="AA23" s="131"/>
      <c r="AB23" s="131"/>
      <c r="AC23" s="132"/>
      <c r="AD23" s="142"/>
      <c r="AE23" s="148" t="s">
        <v>276</v>
      </c>
      <c r="AF23" s="126"/>
    </row>
    <row r="24" spans="1:32" s="127" customFormat="1" ht="19.5" customHeight="1">
      <c r="A24" s="159" t="s">
        <v>292</v>
      </c>
      <c r="B24" s="137"/>
      <c r="C24" s="158" t="s">
        <v>45</v>
      </c>
      <c r="D24" s="158" t="s">
        <v>71</v>
      </c>
      <c r="E24" s="158" t="s">
        <v>299</v>
      </c>
      <c r="F24" s="136"/>
      <c r="G24" s="136">
        <v>2015</v>
      </c>
      <c r="H24" s="132">
        <f t="shared" si="3"/>
        <v>230</v>
      </c>
      <c r="I24" s="131"/>
      <c r="J24" s="131">
        <v>230</v>
      </c>
      <c r="K24" s="131"/>
      <c r="L24" s="131"/>
      <c r="M24" s="132"/>
      <c r="N24" s="208">
        <f t="shared" si="1"/>
        <v>230</v>
      </c>
      <c r="O24" s="131"/>
      <c r="P24" s="131"/>
      <c r="Q24" s="131">
        <v>190</v>
      </c>
      <c r="R24" s="131"/>
      <c r="S24" s="131"/>
      <c r="T24" s="131"/>
      <c r="U24" s="131"/>
      <c r="V24" s="131"/>
      <c r="W24" s="131"/>
      <c r="X24" s="131">
        <f t="shared" si="4"/>
        <v>40</v>
      </c>
      <c r="Y24" s="131"/>
      <c r="Z24" s="131">
        <f>10+200*0.15</f>
        <v>40</v>
      </c>
      <c r="AA24" s="131"/>
      <c r="AB24" s="131"/>
      <c r="AC24" s="132"/>
      <c r="AD24" s="142"/>
      <c r="AE24" s="148" t="s">
        <v>276</v>
      </c>
      <c r="AF24" s="126"/>
    </row>
    <row r="25" spans="1:32" s="180" customFormat="1" ht="12" customHeight="1">
      <c r="A25" s="172"/>
      <c r="B25" s="173"/>
      <c r="C25" s="174"/>
      <c r="D25" s="174"/>
      <c r="E25" s="174"/>
      <c r="F25" s="175"/>
      <c r="G25" s="175"/>
      <c r="H25" s="176"/>
      <c r="I25" s="177"/>
      <c r="J25" s="177"/>
      <c r="K25" s="177"/>
      <c r="L25" s="177"/>
      <c r="M25" s="176"/>
      <c r="N25" s="208">
        <f t="shared" si="1"/>
        <v>0</v>
      </c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6"/>
      <c r="AD25" s="178"/>
      <c r="AE25" s="179"/>
      <c r="AF25" s="179"/>
    </row>
    <row r="26" spans="1:32" s="127" customFormat="1" ht="19.5" customHeight="1">
      <c r="A26" s="159" t="s">
        <v>262</v>
      </c>
      <c r="B26" s="137">
        <v>19</v>
      </c>
      <c r="C26" s="133" t="s">
        <v>42</v>
      </c>
      <c r="D26" s="133" t="s">
        <v>67</v>
      </c>
      <c r="E26" s="133" t="s">
        <v>48</v>
      </c>
      <c r="F26" s="136">
        <v>8</v>
      </c>
      <c r="G26" s="161" t="s">
        <v>207</v>
      </c>
      <c r="H26" s="132">
        <f aca="true" t="shared" si="5" ref="H26:H32">SUM(I26:M26)</f>
        <v>1737</v>
      </c>
      <c r="I26" s="131">
        <f>439+110</f>
        <v>549</v>
      </c>
      <c r="J26" s="131">
        <f>50+12</f>
        <v>62</v>
      </c>
      <c r="K26" s="131">
        <f>295+74</f>
        <v>369</v>
      </c>
      <c r="L26" s="131">
        <f>306+76</f>
        <v>382</v>
      </c>
      <c r="M26" s="132">
        <f>300+75</f>
        <v>375</v>
      </c>
      <c r="N26" s="211">
        <f t="shared" si="1"/>
        <v>1737</v>
      </c>
      <c r="O26" s="131"/>
      <c r="P26" s="131"/>
      <c r="Q26" s="131"/>
      <c r="R26" s="131"/>
      <c r="S26" s="131"/>
      <c r="T26" s="131"/>
      <c r="U26" s="131"/>
      <c r="V26" s="131"/>
      <c r="W26" s="131">
        <f>439+50+295+306+300</f>
        <v>1390</v>
      </c>
      <c r="X26" s="131">
        <f aca="true" t="shared" si="6" ref="X26:X32">Y26+Z26+AA26+AB26+AC26</f>
        <v>347</v>
      </c>
      <c r="Y26" s="131">
        <v>110</v>
      </c>
      <c r="Z26" s="131">
        <v>12</v>
      </c>
      <c r="AA26" s="131">
        <v>74</v>
      </c>
      <c r="AB26" s="131">
        <v>76</v>
      </c>
      <c r="AC26" s="132">
        <v>75</v>
      </c>
      <c r="AD26" s="142">
        <f>AC26+AA26+Z26+AB26+Y26</f>
        <v>347</v>
      </c>
      <c r="AE26" s="126" t="s">
        <v>267</v>
      </c>
      <c r="AF26" s="126"/>
    </row>
    <row r="27" spans="1:32" s="127" customFormat="1" ht="19.5" customHeight="1">
      <c r="A27" s="159" t="s">
        <v>261</v>
      </c>
      <c r="B27" s="137">
        <v>20</v>
      </c>
      <c r="C27" s="133" t="s">
        <v>42</v>
      </c>
      <c r="D27" s="133" t="s">
        <v>67</v>
      </c>
      <c r="E27" s="133" t="s">
        <v>48</v>
      </c>
      <c r="F27" s="136">
        <v>8</v>
      </c>
      <c r="G27" s="161" t="s">
        <v>207</v>
      </c>
      <c r="H27" s="132">
        <f t="shared" si="5"/>
        <v>2138</v>
      </c>
      <c r="I27" s="131">
        <f>100+25</f>
        <v>125</v>
      </c>
      <c r="J27" s="131">
        <f>161+40</f>
        <v>201</v>
      </c>
      <c r="K27" s="131">
        <f>250+62</f>
        <v>312</v>
      </c>
      <c r="L27" s="131">
        <f>700+175</f>
        <v>875</v>
      </c>
      <c r="M27" s="132">
        <f>500+125</f>
        <v>625</v>
      </c>
      <c r="N27" s="211">
        <f t="shared" si="1"/>
        <v>2138</v>
      </c>
      <c r="O27" s="131"/>
      <c r="P27" s="131"/>
      <c r="Q27" s="131"/>
      <c r="R27" s="131"/>
      <c r="S27" s="131"/>
      <c r="T27" s="131"/>
      <c r="U27" s="131"/>
      <c r="V27" s="131"/>
      <c r="W27" s="131">
        <f>100+161+250+700+500</f>
        <v>1711</v>
      </c>
      <c r="X27" s="131">
        <f t="shared" si="6"/>
        <v>427</v>
      </c>
      <c r="Y27" s="131">
        <v>25</v>
      </c>
      <c r="Z27" s="131">
        <v>40</v>
      </c>
      <c r="AA27" s="131">
        <v>62</v>
      </c>
      <c r="AB27" s="131">
        <v>175</v>
      </c>
      <c r="AC27" s="132">
        <v>125</v>
      </c>
      <c r="AD27" s="142">
        <f>AC27+AA27+Z27+AB27+Y27</f>
        <v>427</v>
      </c>
      <c r="AE27" s="126" t="s">
        <v>267</v>
      </c>
      <c r="AF27" s="126"/>
    </row>
    <row r="28" spans="1:32" s="127" customFormat="1" ht="19.5" customHeight="1">
      <c r="A28" s="159" t="s">
        <v>266</v>
      </c>
      <c r="B28" s="137">
        <v>18</v>
      </c>
      <c r="C28" s="133" t="s">
        <v>42</v>
      </c>
      <c r="D28" s="133" t="s">
        <v>67</v>
      </c>
      <c r="E28" s="133" t="s">
        <v>48</v>
      </c>
      <c r="F28" s="136">
        <v>8</v>
      </c>
      <c r="G28" s="161" t="s">
        <v>207</v>
      </c>
      <c r="H28" s="132">
        <f t="shared" si="5"/>
        <v>1037</v>
      </c>
      <c r="I28" s="131">
        <f>319+80</f>
        <v>399</v>
      </c>
      <c r="J28" s="131">
        <f>63+16</f>
        <v>79</v>
      </c>
      <c r="K28" s="131">
        <f>149+37</f>
        <v>186</v>
      </c>
      <c r="L28" s="131">
        <f>149+37</f>
        <v>186</v>
      </c>
      <c r="M28" s="201">
        <f>150+37</f>
        <v>187</v>
      </c>
      <c r="N28" s="211">
        <f t="shared" si="1"/>
        <v>1037</v>
      </c>
      <c r="O28" s="131"/>
      <c r="P28" s="131"/>
      <c r="Q28" s="131"/>
      <c r="R28" s="131">
        <f>319+63+149+149+150</f>
        <v>830</v>
      </c>
      <c r="S28" s="131"/>
      <c r="T28" s="131"/>
      <c r="U28" s="131"/>
      <c r="V28" s="131"/>
      <c r="W28" s="131"/>
      <c r="X28" s="131">
        <f t="shared" si="6"/>
        <v>207</v>
      </c>
      <c r="Y28" s="131">
        <v>80</v>
      </c>
      <c r="Z28" s="131">
        <v>16</v>
      </c>
      <c r="AA28" s="131">
        <v>37</v>
      </c>
      <c r="AB28" s="131">
        <v>37</v>
      </c>
      <c r="AC28" s="132">
        <v>37</v>
      </c>
      <c r="AD28" s="142">
        <f>AC28+AA28+Z28+AB28+Y28</f>
        <v>207</v>
      </c>
      <c r="AE28" s="126" t="s">
        <v>267</v>
      </c>
      <c r="AF28" s="126"/>
    </row>
    <row r="29" spans="1:32" s="127" customFormat="1" ht="19.5" customHeight="1">
      <c r="A29" s="159" t="s">
        <v>264</v>
      </c>
      <c r="B29" s="137"/>
      <c r="C29" s="133" t="s">
        <v>42</v>
      </c>
      <c r="D29" s="133" t="s">
        <v>67</v>
      </c>
      <c r="E29" s="133" t="s">
        <v>48</v>
      </c>
      <c r="F29" s="136">
        <v>8</v>
      </c>
      <c r="G29" s="161" t="s">
        <v>207</v>
      </c>
      <c r="H29" s="132">
        <f t="shared" si="5"/>
        <v>1477</v>
      </c>
      <c r="I29" s="131">
        <f>380+95</f>
        <v>475</v>
      </c>
      <c r="J29" s="131">
        <f>150+37</f>
        <v>187</v>
      </c>
      <c r="K29" s="157">
        <f>52+13</f>
        <v>65</v>
      </c>
      <c r="L29" s="131">
        <f>300+75</f>
        <v>375</v>
      </c>
      <c r="M29" s="132">
        <f>300+75</f>
        <v>375</v>
      </c>
      <c r="N29" s="211">
        <f t="shared" si="1"/>
        <v>1477</v>
      </c>
      <c r="O29" s="131"/>
      <c r="P29" s="131"/>
      <c r="Q29" s="131"/>
      <c r="R29" s="131"/>
      <c r="S29" s="131"/>
      <c r="T29" s="131"/>
      <c r="U29" s="131"/>
      <c r="V29" s="131"/>
      <c r="W29" s="131">
        <f>380+150+52+300+300</f>
        <v>1182</v>
      </c>
      <c r="X29" s="131">
        <f t="shared" si="6"/>
        <v>295</v>
      </c>
      <c r="Y29" s="131">
        <v>95</v>
      </c>
      <c r="Z29" s="131">
        <v>37</v>
      </c>
      <c r="AA29" s="131">
        <v>13</v>
      </c>
      <c r="AB29" s="131">
        <v>75</v>
      </c>
      <c r="AC29" s="132">
        <v>75</v>
      </c>
      <c r="AD29" s="142">
        <f>AC29+AA29+Z29+AB29+Y29</f>
        <v>295</v>
      </c>
      <c r="AE29" s="126" t="s">
        <v>267</v>
      </c>
      <c r="AF29" s="126"/>
    </row>
    <row r="30" spans="1:32" s="127" customFormat="1" ht="19.5" customHeight="1">
      <c r="A30" s="159" t="s">
        <v>263</v>
      </c>
      <c r="B30" s="137"/>
      <c r="C30" s="133" t="s">
        <v>42</v>
      </c>
      <c r="D30" s="133" t="s">
        <v>67</v>
      </c>
      <c r="E30" s="133" t="s">
        <v>48</v>
      </c>
      <c r="F30" s="136">
        <v>8</v>
      </c>
      <c r="G30" s="161" t="s">
        <v>207</v>
      </c>
      <c r="H30" s="132">
        <f t="shared" si="5"/>
        <v>2520</v>
      </c>
      <c r="I30" s="131">
        <f>65+16</f>
        <v>81</v>
      </c>
      <c r="J30" s="131">
        <f>200+50</f>
        <v>250</v>
      </c>
      <c r="K30" s="131">
        <f>347+87</f>
        <v>434</v>
      </c>
      <c r="L30" s="131">
        <f>705+175</f>
        <v>880</v>
      </c>
      <c r="M30" s="132">
        <f>700+175</f>
        <v>875</v>
      </c>
      <c r="N30" s="211">
        <f t="shared" si="1"/>
        <v>2520</v>
      </c>
      <c r="O30" s="131"/>
      <c r="P30" s="131"/>
      <c r="Q30" s="131"/>
      <c r="R30" s="131"/>
      <c r="S30" s="131"/>
      <c r="T30" s="131"/>
      <c r="U30" s="131"/>
      <c r="V30" s="131"/>
      <c r="W30" s="131">
        <f>65+200+347+705+700</f>
        <v>2017</v>
      </c>
      <c r="X30" s="131">
        <f t="shared" si="6"/>
        <v>503</v>
      </c>
      <c r="Y30" s="131">
        <v>16</v>
      </c>
      <c r="Z30" s="131">
        <v>50</v>
      </c>
      <c r="AA30" s="131">
        <v>87</v>
      </c>
      <c r="AB30" s="131">
        <v>175</v>
      </c>
      <c r="AC30" s="132">
        <v>175</v>
      </c>
      <c r="AD30" s="142">
        <f>AC30+AA30+Z30+AB30+Y30</f>
        <v>503</v>
      </c>
      <c r="AE30" s="126" t="s">
        <v>267</v>
      </c>
      <c r="AF30" s="126"/>
    </row>
    <row r="31" spans="1:32" s="127" customFormat="1" ht="19.5" customHeight="1">
      <c r="A31" s="159" t="s">
        <v>265</v>
      </c>
      <c r="B31" s="137"/>
      <c r="C31" s="133" t="s">
        <v>42</v>
      </c>
      <c r="D31" s="133" t="s">
        <v>67</v>
      </c>
      <c r="E31" s="133" t="s">
        <v>48</v>
      </c>
      <c r="F31" s="136">
        <v>8</v>
      </c>
      <c r="G31" s="161" t="s">
        <v>207</v>
      </c>
      <c r="H31" s="132">
        <f t="shared" si="5"/>
        <v>1203</v>
      </c>
      <c r="I31" s="131">
        <f>215+54</f>
        <v>269</v>
      </c>
      <c r="J31" s="157">
        <f>150+37</f>
        <v>187</v>
      </c>
      <c r="K31" s="157">
        <f>153+38</f>
        <v>191</v>
      </c>
      <c r="L31" s="131">
        <f>222+56</f>
        <v>278</v>
      </c>
      <c r="M31" s="132">
        <f>222+56</f>
        <v>278</v>
      </c>
      <c r="N31" s="211">
        <f t="shared" si="1"/>
        <v>1203</v>
      </c>
      <c r="O31" s="131"/>
      <c r="P31" s="131"/>
      <c r="Q31" s="131"/>
      <c r="R31" s="131">
        <f>215+150+153+222+222</f>
        <v>962</v>
      </c>
      <c r="S31" s="131"/>
      <c r="T31" s="131"/>
      <c r="U31" s="131"/>
      <c r="V31" s="131"/>
      <c r="W31" s="157" t="s">
        <v>161</v>
      </c>
      <c r="X31" s="131">
        <f t="shared" si="6"/>
        <v>241</v>
      </c>
      <c r="Y31" s="131">
        <v>54</v>
      </c>
      <c r="Z31" s="131">
        <v>37</v>
      </c>
      <c r="AA31" s="131">
        <v>38</v>
      </c>
      <c r="AB31" s="131">
        <v>56</v>
      </c>
      <c r="AC31" s="132">
        <v>56</v>
      </c>
      <c r="AD31" s="142"/>
      <c r="AE31" s="126" t="s">
        <v>267</v>
      </c>
      <c r="AF31" s="126"/>
    </row>
    <row r="32" spans="1:32" s="127" customFormat="1" ht="19.5" customHeight="1">
      <c r="A32" s="159" t="s">
        <v>300</v>
      </c>
      <c r="B32" s="137">
        <v>19</v>
      </c>
      <c r="C32" s="133" t="s">
        <v>42</v>
      </c>
      <c r="D32" s="133" t="s">
        <v>67</v>
      </c>
      <c r="E32" s="133" t="s">
        <v>48</v>
      </c>
      <c r="F32" s="136">
        <v>8</v>
      </c>
      <c r="G32" s="161">
        <v>2014</v>
      </c>
      <c r="H32" s="132">
        <f t="shared" si="5"/>
        <v>695</v>
      </c>
      <c r="I32" s="131">
        <v>695</v>
      </c>
      <c r="J32" s="131"/>
      <c r="K32" s="131"/>
      <c r="L32" s="131"/>
      <c r="M32" s="132"/>
      <c r="N32" s="211">
        <f t="shared" si="1"/>
        <v>695</v>
      </c>
      <c r="O32" s="131"/>
      <c r="P32" s="131"/>
      <c r="Q32" s="131"/>
      <c r="R32" s="131"/>
      <c r="S32" s="131"/>
      <c r="T32" s="131"/>
      <c r="U32" s="131"/>
      <c r="V32" s="131"/>
      <c r="W32" s="131">
        <v>556</v>
      </c>
      <c r="X32" s="131">
        <f t="shared" si="6"/>
        <v>139</v>
      </c>
      <c r="Y32" s="131">
        <v>139</v>
      </c>
      <c r="Z32" s="131"/>
      <c r="AA32" s="131"/>
      <c r="AB32" s="131"/>
      <c r="AC32" s="132"/>
      <c r="AD32" s="142">
        <f>AC32+AA32+Z32+AB32+Y32</f>
        <v>139</v>
      </c>
      <c r="AE32" s="126" t="s">
        <v>267</v>
      </c>
      <c r="AF32" s="126"/>
    </row>
    <row r="33" spans="1:32" s="180" customFormat="1" ht="12" customHeight="1">
      <c r="A33" s="172"/>
      <c r="B33" s="173"/>
      <c r="C33" s="174"/>
      <c r="D33" s="174"/>
      <c r="E33" s="174"/>
      <c r="F33" s="175"/>
      <c r="G33" s="175"/>
      <c r="H33" s="176"/>
      <c r="I33" s="177"/>
      <c r="J33" s="177"/>
      <c r="K33" s="177"/>
      <c r="L33" s="177"/>
      <c r="M33" s="176"/>
      <c r="N33" s="208">
        <f t="shared" si="1"/>
        <v>0</v>
      </c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6"/>
      <c r="AD33" s="178"/>
      <c r="AE33" s="179"/>
      <c r="AF33" s="179"/>
    </row>
    <row r="34" spans="1:32" s="127" customFormat="1" ht="19.5" customHeight="1">
      <c r="A34" s="159" t="s">
        <v>187</v>
      </c>
      <c r="B34" s="137"/>
      <c r="C34" s="158" t="s">
        <v>188</v>
      </c>
      <c r="D34" s="158" t="s">
        <v>189</v>
      </c>
      <c r="E34" s="158" t="s">
        <v>190</v>
      </c>
      <c r="F34" s="136">
        <v>7</v>
      </c>
      <c r="G34" s="136">
        <v>2014</v>
      </c>
      <c r="H34" s="132">
        <f aca="true" t="shared" si="7" ref="H34:H46">SUM(I34:M34)</f>
        <v>360</v>
      </c>
      <c r="I34" s="131">
        <v>360</v>
      </c>
      <c r="J34" s="131"/>
      <c r="K34" s="131"/>
      <c r="L34" s="131"/>
      <c r="M34" s="132"/>
      <c r="N34" s="208">
        <f t="shared" si="1"/>
        <v>360</v>
      </c>
      <c r="O34" s="131">
        <f>320+40</f>
        <v>360</v>
      </c>
      <c r="P34" s="131"/>
      <c r="Q34" s="131"/>
      <c r="R34" s="131"/>
      <c r="S34" s="131"/>
      <c r="T34" s="131"/>
      <c r="U34" s="131"/>
      <c r="V34" s="131"/>
      <c r="W34" s="131"/>
      <c r="X34" s="131">
        <f aca="true" t="shared" si="8" ref="X34:X46">Y34+Z34+AA34+AB34+AC34</f>
        <v>0</v>
      </c>
      <c r="Y34" s="131">
        <v>0</v>
      </c>
      <c r="Z34" s="131"/>
      <c r="AA34" s="131"/>
      <c r="AB34" s="131"/>
      <c r="AC34" s="132"/>
      <c r="AD34" s="142">
        <f>AC34+AA34+Z34+AB34+Y34</f>
        <v>0</v>
      </c>
      <c r="AE34" s="148" t="s">
        <v>284</v>
      </c>
      <c r="AF34" s="126"/>
    </row>
    <row r="35" spans="1:32" s="127" customFormat="1" ht="19.5" customHeight="1">
      <c r="A35" s="159" t="s">
        <v>244</v>
      </c>
      <c r="B35" s="137"/>
      <c r="C35" s="158" t="s">
        <v>44</v>
      </c>
      <c r="D35" s="158" t="s">
        <v>194</v>
      </c>
      <c r="E35" s="158" t="s">
        <v>48</v>
      </c>
      <c r="F35" s="136">
        <v>9</v>
      </c>
      <c r="G35" s="136">
        <v>2014</v>
      </c>
      <c r="H35" s="132">
        <f t="shared" si="7"/>
        <v>1486</v>
      </c>
      <c r="I35" s="131">
        <v>1486</v>
      </c>
      <c r="J35" s="131"/>
      <c r="K35" s="131"/>
      <c r="L35" s="131"/>
      <c r="M35" s="132"/>
      <c r="N35" s="211">
        <f t="shared" si="1"/>
        <v>1485.5</v>
      </c>
      <c r="O35" s="157" t="s">
        <v>161</v>
      </c>
      <c r="P35" s="131"/>
      <c r="Q35" s="131"/>
      <c r="R35" s="131"/>
      <c r="S35" s="131">
        <v>373</v>
      </c>
      <c r="T35" s="131"/>
      <c r="U35" s="131"/>
      <c r="V35" s="131">
        <v>580</v>
      </c>
      <c r="W35" s="131">
        <v>460</v>
      </c>
      <c r="X35" s="131">
        <f t="shared" si="8"/>
        <v>72.5</v>
      </c>
      <c r="Y35" s="131">
        <f>725*0.1</f>
        <v>72.5</v>
      </c>
      <c r="Z35" s="131"/>
      <c r="AA35" s="131"/>
      <c r="AB35" s="131"/>
      <c r="AC35" s="132"/>
      <c r="AD35" s="142">
        <f>AC35+AA35+Z35+AB35+Y35</f>
        <v>72.5</v>
      </c>
      <c r="AE35" s="148" t="s">
        <v>288</v>
      </c>
      <c r="AF35" s="126"/>
    </row>
    <row r="36" spans="1:32" s="127" customFormat="1" ht="19.5" customHeight="1">
      <c r="A36" s="159" t="s">
        <v>191</v>
      </c>
      <c r="B36" s="137"/>
      <c r="C36" s="158" t="s">
        <v>192</v>
      </c>
      <c r="D36" s="158" t="s">
        <v>193</v>
      </c>
      <c r="E36" s="158" t="s">
        <v>231</v>
      </c>
      <c r="F36" s="136">
        <v>7</v>
      </c>
      <c r="G36" s="136">
        <v>2014</v>
      </c>
      <c r="H36" s="132">
        <f t="shared" si="7"/>
        <v>199</v>
      </c>
      <c r="I36" s="131">
        <v>199</v>
      </c>
      <c r="J36" s="131"/>
      <c r="K36" s="131"/>
      <c r="L36" s="131"/>
      <c r="M36" s="132"/>
      <c r="N36" s="208">
        <f aca="true" t="shared" si="9" ref="N36:N66">+SUM(O36:X36)</f>
        <v>198.85</v>
      </c>
      <c r="O36" s="131"/>
      <c r="P36" s="131">
        <v>159</v>
      </c>
      <c r="Q36" s="131"/>
      <c r="R36" s="131"/>
      <c r="S36" s="131"/>
      <c r="T36" s="131"/>
      <c r="U36" s="131"/>
      <c r="V36" s="131"/>
      <c r="W36" s="131"/>
      <c r="X36" s="129">
        <f t="shared" si="8"/>
        <v>39.849999999999994</v>
      </c>
      <c r="Y36" s="131">
        <f>16+159*0.15</f>
        <v>39.849999999999994</v>
      </c>
      <c r="Z36" s="131"/>
      <c r="AA36" s="131"/>
      <c r="AB36" s="131"/>
      <c r="AC36" s="132"/>
      <c r="AD36" s="141"/>
      <c r="AE36" s="148" t="s">
        <v>280</v>
      </c>
      <c r="AF36" s="126"/>
    </row>
    <row r="37" spans="1:32" s="127" customFormat="1" ht="19.5" customHeight="1">
      <c r="A37" s="159" t="s">
        <v>191</v>
      </c>
      <c r="B37" s="137"/>
      <c r="C37" s="158" t="s">
        <v>192</v>
      </c>
      <c r="D37" s="158" t="s">
        <v>229</v>
      </c>
      <c r="E37" s="158" t="s">
        <v>230</v>
      </c>
      <c r="F37" s="136"/>
      <c r="G37" s="136">
        <v>2014</v>
      </c>
      <c r="H37" s="132">
        <f t="shared" si="7"/>
        <v>437</v>
      </c>
      <c r="I37" s="131">
        <v>437</v>
      </c>
      <c r="J37" s="131"/>
      <c r="K37" s="131"/>
      <c r="L37" s="131"/>
      <c r="M37" s="132"/>
      <c r="N37" s="208">
        <f t="shared" si="9"/>
        <v>437</v>
      </c>
      <c r="O37" s="131"/>
      <c r="P37" s="131">
        <v>342</v>
      </c>
      <c r="Q37" s="131"/>
      <c r="R37" s="131"/>
      <c r="S37" s="131"/>
      <c r="T37" s="131"/>
      <c r="U37" s="131"/>
      <c r="V37" s="131"/>
      <c r="W37" s="131"/>
      <c r="X37" s="131">
        <f t="shared" si="8"/>
        <v>95</v>
      </c>
      <c r="Y37" s="131">
        <f>38+380*0.15</f>
        <v>95</v>
      </c>
      <c r="Z37" s="131"/>
      <c r="AA37" s="131"/>
      <c r="AB37" s="131"/>
      <c r="AC37" s="132"/>
      <c r="AD37" s="142"/>
      <c r="AE37" s="148" t="s">
        <v>282</v>
      </c>
      <c r="AF37" s="126"/>
    </row>
    <row r="38" spans="1:32" s="127" customFormat="1" ht="19.5" customHeight="1">
      <c r="A38" s="159" t="s">
        <v>153</v>
      </c>
      <c r="B38" s="137">
        <v>39</v>
      </c>
      <c r="C38" s="158" t="s">
        <v>44</v>
      </c>
      <c r="D38" s="158" t="s">
        <v>195</v>
      </c>
      <c r="E38" s="158" t="s">
        <v>231</v>
      </c>
      <c r="F38" s="136">
        <v>7</v>
      </c>
      <c r="G38" s="136">
        <v>2014</v>
      </c>
      <c r="H38" s="132">
        <f t="shared" si="7"/>
        <v>436</v>
      </c>
      <c r="I38" s="131">
        <v>436</v>
      </c>
      <c r="J38" s="131"/>
      <c r="K38" s="131"/>
      <c r="L38" s="131"/>
      <c r="M38" s="132"/>
      <c r="N38" s="208">
        <f t="shared" si="9"/>
        <v>436</v>
      </c>
      <c r="O38" s="131"/>
      <c r="P38" s="131">
        <v>341</v>
      </c>
      <c r="Q38" s="131"/>
      <c r="R38" s="131"/>
      <c r="S38" s="131"/>
      <c r="T38" s="131"/>
      <c r="U38" s="131"/>
      <c r="V38" s="131"/>
      <c r="W38" s="131"/>
      <c r="X38" s="131">
        <f t="shared" si="8"/>
        <v>95</v>
      </c>
      <c r="Y38" s="157">
        <f>38+380*0.15</f>
        <v>95</v>
      </c>
      <c r="Z38" s="157"/>
      <c r="AA38" s="131"/>
      <c r="AB38" s="131"/>
      <c r="AC38" s="132"/>
      <c r="AD38" s="142">
        <f>AC38+AA38+Z38+AB38+Y38</f>
        <v>95</v>
      </c>
      <c r="AE38" s="148" t="s">
        <v>282</v>
      </c>
      <c r="AF38" s="148"/>
    </row>
    <row r="39" spans="1:32" s="127" customFormat="1" ht="19.5" customHeight="1">
      <c r="A39" s="138" t="s">
        <v>153</v>
      </c>
      <c r="B39" s="137"/>
      <c r="C39" s="133" t="s">
        <v>44</v>
      </c>
      <c r="D39" s="158" t="s">
        <v>182</v>
      </c>
      <c r="E39" s="158" t="s">
        <v>157</v>
      </c>
      <c r="F39" s="136">
        <v>9</v>
      </c>
      <c r="G39" s="136">
        <v>2014</v>
      </c>
      <c r="H39" s="130">
        <f t="shared" si="7"/>
        <v>2269</v>
      </c>
      <c r="I39" s="131">
        <f>375+811+100+924</f>
        <v>2210</v>
      </c>
      <c r="J39" s="131">
        <v>59</v>
      </c>
      <c r="K39" s="131"/>
      <c r="L39" s="131"/>
      <c r="M39" s="132"/>
      <c r="N39" s="208">
        <f t="shared" si="9"/>
        <v>2269</v>
      </c>
      <c r="O39" s="131"/>
      <c r="P39" s="131"/>
      <c r="Q39" s="131"/>
      <c r="R39" s="131"/>
      <c r="S39" s="131"/>
      <c r="T39" s="131"/>
      <c r="U39" s="131">
        <f>401+410</f>
        <v>811</v>
      </c>
      <c r="V39" s="131">
        <v>100</v>
      </c>
      <c r="W39" s="131">
        <v>924</v>
      </c>
      <c r="X39" s="129">
        <f t="shared" si="8"/>
        <v>434</v>
      </c>
      <c r="Y39" s="129">
        <v>332</v>
      </c>
      <c r="Z39" s="131">
        <v>102</v>
      </c>
      <c r="AA39" s="131"/>
      <c r="AB39" s="131"/>
      <c r="AC39" s="132"/>
      <c r="AD39" s="141">
        <f>AC39+AA39+Z39+AB39+Y39</f>
        <v>434</v>
      </c>
      <c r="AE39" s="148" t="s">
        <v>273</v>
      </c>
      <c r="AF39" s="126"/>
    </row>
    <row r="40" spans="1:32" s="127" customFormat="1" ht="19.5" customHeight="1">
      <c r="A40" s="159" t="s">
        <v>295</v>
      </c>
      <c r="B40" s="137"/>
      <c r="C40" s="158" t="s">
        <v>46</v>
      </c>
      <c r="D40" s="158" t="s">
        <v>296</v>
      </c>
      <c r="E40" s="158" t="s">
        <v>48</v>
      </c>
      <c r="F40" s="136"/>
      <c r="G40" s="136">
        <v>2014</v>
      </c>
      <c r="H40" s="132">
        <f t="shared" si="7"/>
        <v>625</v>
      </c>
      <c r="I40" s="131">
        <v>625</v>
      </c>
      <c r="J40" s="131"/>
      <c r="K40" s="131"/>
      <c r="L40" s="131"/>
      <c r="M40" s="132"/>
      <c r="N40" s="208">
        <f t="shared" si="9"/>
        <v>625</v>
      </c>
      <c r="O40" s="131"/>
      <c r="P40" s="131"/>
      <c r="Q40" s="131"/>
      <c r="R40" s="131"/>
      <c r="S40" s="131"/>
      <c r="T40" s="131"/>
      <c r="U40" s="131"/>
      <c r="V40" s="131"/>
      <c r="W40" s="131">
        <v>500</v>
      </c>
      <c r="X40" s="131">
        <f t="shared" si="8"/>
        <v>125</v>
      </c>
      <c r="Y40" s="157">
        <v>125</v>
      </c>
      <c r="Z40" s="157"/>
      <c r="AA40" s="131"/>
      <c r="AB40" s="131"/>
      <c r="AC40" s="132"/>
      <c r="AD40" s="142"/>
      <c r="AE40" s="148"/>
      <c r="AF40" s="148"/>
    </row>
    <row r="41" spans="1:32" s="149" customFormat="1" ht="19.5" customHeight="1">
      <c r="A41" s="159" t="s">
        <v>255</v>
      </c>
      <c r="B41" s="137"/>
      <c r="C41" s="158" t="s">
        <v>256</v>
      </c>
      <c r="D41" s="158" t="s">
        <v>257</v>
      </c>
      <c r="E41" s="158" t="s">
        <v>243</v>
      </c>
      <c r="F41" s="136"/>
      <c r="G41" s="136">
        <v>2014</v>
      </c>
      <c r="H41" s="132">
        <f t="shared" si="7"/>
        <v>700</v>
      </c>
      <c r="I41" s="131">
        <v>700</v>
      </c>
      <c r="J41" s="131"/>
      <c r="K41" s="131"/>
      <c r="L41" s="131"/>
      <c r="M41" s="132"/>
      <c r="N41" s="211">
        <f t="shared" si="9"/>
        <v>700</v>
      </c>
      <c r="O41" s="131"/>
      <c r="P41" s="131"/>
      <c r="Q41" s="131"/>
      <c r="R41" s="131"/>
      <c r="S41" s="131"/>
      <c r="T41" s="131"/>
      <c r="U41" s="131"/>
      <c r="V41" s="131">
        <v>450</v>
      </c>
      <c r="W41" s="131"/>
      <c r="X41" s="131">
        <f t="shared" si="8"/>
        <v>250</v>
      </c>
      <c r="Y41" s="131">
        <v>250</v>
      </c>
      <c r="Z41" s="131"/>
      <c r="AA41" s="131"/>
      <c r="AB41" s="131"/>
      <c r="AC41" s="132"/>
      <c r="AD41" s="142"/>
      <c r="AE41" s="148" t="s">
        <v>286</v>
      </c>
      <c r="AF41" s="126"/>
    </row>
    <row r="42" spans="1:32" s="127" customFormat="1" ht="19.5" customHeight="1">
      <c r="A42" s="159" t="s">
        <v>200</v>
      </c>
      <c r="B42" s="137"/>
      <c r="C42" s="158" t="s">
        <v>201</v>
      </c>
      <c r="D42" s="158" t="s">
        <v>202</v>
      </c>
      <c r="E42" s="158" t="s">
        <v>226</v>
      </c>
      <c r="F42" s="136">
        <v>7</v>
      </c>
      <c r="G42" s="136">
        <v>2014</v>
      </c>
      <c r="H42" s="132">
        <f t="shared" si="7"/>
        <v>862</v>
      </c>
      <c r="I42" s="131">
        <v>862</v>
      </c>
      <c r="J42" s="131"/>
      <c r="K42" s="131"/>
      <c r="L42" s="131"/>
      <c r="M42" s="132"/>
      <c r="N42" s="208">
        <f t="shared" si="9"/>
        <v>862</v>
      </c>
      <c r="O42" s="131">
        <v>750</v>
      </c>
      <c r="P42" s="131"/>
      <c r="Q42" s="131"/>
      <c r="R42" s="131"/>
      <c r="S42" s="131"/>
      <c r="T42" s="131"/>
      <c r="U42" s="131"/>
      <c r="V42" s="131"/>
      <c r="W42" s="131"/>
      <c r="X42" s="131">
        <f t="shared" si="8"/>
        <v>112</v>
      </c>
      <c r="Y42" s="131">
        <v>112</v>
      </c>
      <c r="Z42" s="131"/>
      <c r="AA42" s="131"/>
      <c r="AB42" s="131"/>
      <c r="AC42" s="132"/>
      <c r="AD42" s="142"/>
      <c r="AE42" s="148" t="s">
        <v>283</v>
      </c>
      <c r="AF42" s="126"/>
    </row>
    <row r="43" spans="1:32" s="127" customFormat="1" ht="19.5" customHeight="1">
      <c r="A43" s="159" t="s">
        <v>219</v>
      </c>
      <c r="B43" s="137"/>
      <c r="C43" s="158" t="s">
        <v>34</v>
      </c>
      <c r="D43" s="158" t="s">
        <v>220</v>
      </c>
      <c r="E43" s="158" t="s">
        <v>227</v>
      </c>
      <c r="F43" s="136"/>
      <c r="G43" s="136">
        <v>2014</v>
      </c>
      <c r="H43" s="132">
        <f t="shared" si="7"/>
        <v>265</v>
      </c>
      <c r="I43" s="131">
        <v>265</v>
      </c>
      <c r="J43" s="131"/>
      <c r="K43" s="131"/>
      <c r="L43" s="131"/>
      <c r="M43" s="132"/>
      <c r="N43" s="208">
        <f t="shared" si="9"/>
        <v>264.5</v>
      </c>
      <c r="O43" s="131"/>
      <c r="P43" s="131">
        <v>207</v>
      </c>
      <c r="Q43" s="131"/>
      <c r="R43" s="131"/>
      <c r="S43" s="131"/>
      <c r="T43" s="131"/>
      <c r="U43" s="131"/>
      <c r="V43" s="131"/>
      <c r="W43" s="131"/>
      <c r="X43" s="131">
        <f t="shared" si="8"/>
        <v>57.5</v>
      </c>
      <c r="Y43" s="131">
        <f>23+230*0.15</f>
        <v>57.5</v>
      </c>
      <c r="Z43" s="131"/>
      <c r="AA43" s="131"/>
      <c r="AB43" s="131"/>
      <c r="AC43" s="132"/>
      <c r="AD43" s="142"/>
      <c r="AE43" s="148" t="s">
        <v>282</v>
      </c>
      <c r="AF43" s="126"/>
    </row>
    <row r="44" spans="1:32" s="127" customFormat="1" ht="19.5" customHeight="1">
      <c r="A44" s="159" t="s">
        <v>184</v>
      </c>
      <c r="B44" s="137"/>
      <c r="C44" s="158" t="s">
        <v>41</v>
      </c>
      <c r="D44" s="158" t="s">
        <v>197</v>
      </c>
      <c r="E44" s="133" t="s">
        <v>48</v>
      </c>
      <c r="F44" s="136">
        <v>8</v>
      </c>
      <c r="G44" s="136">
        <v>2014</v>
      </c>
      <c r="H44" s="132">
        <f t="shared" si="7"/>
        <v>350</v>
      </c>
      <c r="I44" s="131">
        <v>350</v>
      </c>
      <c r="J44" s="131"/>
      <c r="K44" s="131"/>
      <c r="L44" s="131"/>
      <c r="M44" s="132"/>
      <c r="N44" s="208">
        <f t="shared" si="9"/>
        <v>350</v>
      </c>
      <c r="O44" s="131"/>
      <c r="P44" s="131"/>
      <c r="Q44" s="131"/>
      <c r="R44" s="131">
        <v>70</v>
      </c>
      <c r="S44" s="131"/>
      <c r="T44" s="131"/>
      <c r="U44" s="131">
        <v>175</v>
      </c>
      <c r="V44" s="131"/>
      <c r="W44" s="131">
        <v>105</v>
      </c>
      <c r="X44" s="131">
        <f t="shared" si="8"/>
        <v>0</v>
      </c>
      <c r="Y44" s="131">
        <v>0</v>
      </c>
      <c r="Z44" s="131"/>
      <c r="AA44" s="131"/>
      <c r="AB44" s="131"/>
      <c r="AC44" s="132"/>
      <c r="AD44" s="142">
        <f>AC44+AA44+Z44+AB44+Y44</f>
        <v>0</v>
      </c>
      <c r="AE44" s="148" t="s">
        <v>290</v>
      </c>
      <c r="AF44" s="126"/>
    </row>
    <row r="45" spans="1:32" s="127" customFormat="1" ht="19.5" customHeight="1">
      <c r="A45" s="159" t="s">
        <v>235</v>
      </c>
      <c r="B45" s="137"/>
      <c r="C45" s="158" t="s">
        <v>45</v>
      </c>
      <c r="D45" s="158" t="s">
        <v>236</v>
      </c>
      <c r="E45" s="158" t="s">
        <v>48</v>
      </c>
      <c r="F45" s="136"/>
      <c r="G45" s="136">
        <v>2014</v>
      </c>
      <c r="H45" s="132">
        <f t="shared" si="7"/>
        <v>4000</v>
      </c>
      <c r="I45" s="131">
        <v>1500</v>
      </c>
      <c r="J45" s="131">
        <v>1000</v>
      </c>
      <c r="K45" s="131">
        <v>1000</v>
      </c>
      <c r="L45" s="131">
        <v>300</v>
      </c>
      <c r="M45" s="132">
        <v>200</v>
      </c>
      <c r="N45" s="211">
        <f t="shared" si="9"/>
        <v>4000</v>
      </c>
      <c r="O45" s="131"/>
      <c r="P45" s="131"/>
      <c r="Q45" s="131"/>
      <c r="R45" s="131"/>
      <c r="S45" s="131"/>
      <c r="T45" s="131"/>
      <c r="U45" s="131"/>
      <c r="V45" s="131">
        <v>4000</v>
      </c>
      <c r="W45" s="131"/>
      <c r="X45" s="131">
        <f t="shared" si="8"/>
        <v>0</v>
      </c>
      <c r="Y45" s="131">
        <v>0</v>
      </c>
      <c r="Z45" s="131"/>
      <c r="AA45" s="131"/>
      <c r="AB45" s="131"/>
      <c r="AC45" s="132"/>
      <c r="AD45" s="142"/>
      <c r="AE45" s="148" t="s">
        <v>287</v>
      </c>
      <c r="AF45" s="126"/>
    </row>
    <row r="46" spans="1:32" s="127" customFormat="1" ht="18" customHeight="1">
      <c r="A46" s="159" t="s">
        <v>237</v>
      </c>
      <c r="B46" s="137"/>
      <c r="C46" s="158" t="s">
        <v>42</v>
      </c>
      <c r="D46" s="158" t="s">
        <v>189</v>
      </c>
      <c r="E46" s="158" t="s">
        <v>120</v>
      </c>
      <c r="F46" s="136"/>
      <c r="G46" s="136">
        <v>2014</v>
      </c>
      <c r="H46" s="132">
        <f t="shared" si="7"/>
        <v>500</v>
      </c>
      <c r="I46" s="131">
        <v>100</v>
      </c>
      <c r="J46" s="131">
        <v>100</v>
      </c>
      <c r="K46" s="131">
        <v>100</v>
      </c>
      <c r="L46" s="131">
        <v>100</v>
      </c>
      <c r="M46" s="132">
        <v>100</v>
      </c>
      <c r="N46" s="208">
        <f t="shared" si="9"/>
        <v>500</v>
      </c>
      <c r="O46" s="131"/>
      <c r="P46" s="131"/>
      <c r="Q46" s="131"/>
      <c r="R46" s="131"/>
      <c r="S46" s="131"/>
      <c r="T46" s="131"/>
      <c r="U46" s="131"/>
      <c r="V46" s="131">
        <v>500</v>
      </c>
      <c r="W46" s="131"/>
      <c r="X46" s="131">
        <f t="shared" si="8"/>
        <v>0</v>
      </c>
      <c r="Y46" s="131">
        <v>0</v>
      </c>
      <c r="Z46" s="131"/>
      <c r="AA46" s="131"/>
      <c r="AB46" s="131"/>
      <c r="AC46" s="132"/>
      <c r="AD46" s="142"/>
      <c r="AE46" s="148" t="s">
        <v>285</v>
      </c>
      <c r="AF46" s="126"/>
    </row>
    <row r="47" spans="1:32" s="180" customFormat="1" ht="12" customHeight="1">
      <c r="A47" s="172"/>
      <c r="B47" s="173"/>
      <c r="C47" s="174"/>
      <c r="D47" s="174"/>
      <c r="E47" s="174"/>
      <c r="F47" s="175"/>
      <c r="G47" s="175"/>
      <c r="H47" s="176"/>
      <c r="I47" s="177"/>
      <c r="J47" s="177"/>
      <c r="K47" s="177"/>
      <c r="L47" s="177"/>
      <c r="M47" s="176"/>
      <c r="N47" s="208">
        <f t="shared" si="9"/>
        <v>0</v>
      </c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6"/>
      <c r="AD47" s="178"/>
      <c r="AE47" s="179"/>
      <c r="AF47" s="179"/>
    </row>
    <row r="48" spans="1:32" s="149" customFormat="1" ht="19.5" customHeight="1">
      <c r="A48" s="138" t="s">
        <v>173</v>
      </c>
      <c r="B48" s="137"/>
      <c r="C48" s="133" t="s">
        <v>46</v>
      </c>
      <c r="D48" s="133" t="s">
        <v>174</v>
      </c>
      <c r="E48" s="133" t="s">
        <v>48</v>
      </c>
      <c r="F48" s="136">
        <v>8</v>
      </c>
      <c r="G48" s="136">
        <v>2015</v>
      </c>
      <c r="H48" s="132">
        <f aca="true" t="shared" si="10" ref="H48:H64">SUM(I48:M48)</f>
        <v>625</v>
      </c>
      <c r="I48" s="131"/>
      <c r="J48" s="212">
        <v>625</v>
      </c>
      <c r="K48" s="131"/>
      <c r="L48" s="131"/>
      <c r="M48" s="132"/>
      <c r="N48" s="208">
        <f t="shared" si="9"/>
        <v>625</v>
      </c>
      <c r="O48" s="131"/>
      <c r="P48" s="131"/>
      <c r="Q48" s="131"/>
      <c r="R48" s="131"/>
      <c r="S48" s="131"/>
      <c r="T48" s="131"/>
      <c r="U48" s="131"/>
      <c r="V48" s="131"/>
      <c r="W48" s="131">
        <v>500</v>
      </c>
      <c r="X48" s="131">
        <f aca="true" t="shared" si="11" ref="X48:X63">Y48+Z48+AA48+AB48+AC48</f>
        <v>125</v>
      </c>
      <c r="Y48" s="131"/>
      <c r="Z48" s="131"/>
      <c r="AA48" s="131">
        <v>125</v>
      </c>
      <c r="AB48" s="131"/>
      <c r="AC48" s="132"/>
      <c r="AD48" s="142">
        <f>AC48+AA48+Z48+AB48+Y48</f>
        <v>125</v>
      </c>
      <c r="AE48" s="148" t="s">
        <v>290</v>
      </c>
      <c r="AF48" s="126"/>
    </row>
    <row r="49" spans="1:32" s="127" customFormat="1" ht="19.5" customHeight="1">
      <c r="A49" s="159" t="s">
        <v>241</v>
      </c>
      <c r="B49" s="137"/>
      <c r="C49" s="158" t="s">
        <v>46</v>
      </c>
      <c r="D49" s="158" t="s">
        <v>242</v>
      </c>
      <c r="E49" s="158" t="s">
        <v>48</v>
      </c>
      <c r="F49" s="136">
        <v>8</v>
      </c>
      <c r="G49" s="136">
        <v>2015</v>
      </c>
      <c r="H49" s="132">
        <f t="shared" si="10"/>
        <v>500</v>
      </c>
      <c r="I49" s="131"/>
      <c r="J49" s="131">
        <v>500</v>
      </c>
      <c r="K49" s="131"/>
      <c r="L49" s="131"/>
      <c r="M49" s="132"/>
      <c r="N49" s="208">
        <f t="shared" si="9"/>
        <v>500</v>
      </c>
      <c r="O49" s="131"/>
      <c r="P49" s="131"/>
      <c r="Q49" s="131"/>
      <c r="R49" s="157" t="s">
        <v>161</v>
      </c>
      <c r="S49" s="131"/>
      <c r="T49" s="157" t="s">
        <v>161</v>
      </c>
      <c r="U49" s="131"/>
      <c r="V49" s="131"/>
      <c r="W49" s="131">
        <v>400</v>
      </c>
      <c r="X49" s="131">
        <f t="shared" si="11"/>
        <v>100</v>
      </c>
      <c r="Y49" s="131"/>
      <c r="Z49" s="131">
        <v>100</v>
      </c>
      <c r="AA49" s="131"/>
      <c r="AB49" s="131"/>
      <c r="AC49" s="132"/>
      <c r="AD49" s="142"/>
      <c r="AE49" s="148" t="s">
        <v>290</v>
      </c>
      <c r="AF49" s="126"/>
    </row>
    <row r="50" spans="1:32" s="127" customFormat="1" ht="19.5" customHeight="1">
      <c r="A50" s="159" t="s">
        <v>240</v>
      </c>
      <c r="B50" s="200"/>
      <c r="C50" s="158" t="s">
        <v>46</v>
      </c>
      <c r="D50" s="158" t="s">
        <v>289</v>
      </c>
      <c r="E50" s="158" t="s">
        <v>190</v>
      </c>
      <c r="F50" s="161">
        <v>8</v>
      </c>
      <c r="G50" s="161">
        <v>2015</v>
      </c>
      <c r="H50" s="201">
        <f>SUM(J50:M50)</f>
        <v>449</v>
      </c>
      <c r="J50" s="157">
        <v>449</v>
      </c>
      <c r="K50" s="157"/>
      <c r="L50" s="157"/>
      <c r="M50" s="201"/>
      <c r="N50" s="208">
        <f t="shared" si="9"/>
        <v>449</v>
      </c>
      <c r="O50" s="157"/>
      <c r="P50" s="157">
        <v>449</v>
      </c>
      <c r="Q50" s="157"/>
      <c r="R50" s="157"/>
      <c r="S50" s="157"/>
      <c r="T50" s="157"/>
      <c r="U50" s="157"/>
      <c r="V50" s="157"/>
      <c r="W50" s="157"/>
      <c r="X50" s="157">
        <f t="shared" si="11"/>
        <v>0</v>
      </c>
      <c r="Y50" s="157"/>
      <c r="Z50" s="157">
        <v>0</v>
      </c>
      <c r="AA50" s="157"/>
      <c r="AB50" s="157"/>
      <c r="AC50" s="201"/>
      <c r="AD50" s="202"/>
      <c r="AE50" s="148" t="s">
        <v>290</v>
      </c>
      <c r="AF50" s="148"/>
    </row>
    <row r="51" spans="1:32" s="149" customFormat="1" ht="19.5" customHeight="1">
      <c r="A51" s="159" t="s">
        <v>221</v>
      </c>
      <c r="B51" s="137"/>
      <c r="C51" s="158" t="s">
        <v>78</v>
      </c>
      <c r="D51" s="158" t="s">
        <v>222</v>
      </c>
      <c r="E51" s="158" t="s">
        <v>228</v>
      </c>
      <c r="F51" s="136"/>
      <c r="G51" s="136">
        <v>2015</v>
      </c>
      <c r="H51" s="132">
        <f t="shared" si="10"/>
        <v>437.5</v>
      </c>
      <c r="I51" s="131">
        <f>35</f>
        <v>35</v>
      </c>
      <c r="J51" s="131">
        <f>280+70+350*0.15</f>
        <v>402.5</v>
      </c>
      <c r="K51" s="131"/>
      <c r="L51" s="131"/>
      <c r="M51" s="132"/>
      <c r="N51" s="208">
        <f>+SUM(O51:X51)</f>
        <v>437.5</v>
      </c>
      <c r="O51" s="131"/>
      <c r="P51" s="131">
        <f>17.5+280</f>
        <v>297.5</v>
      </c>
      <c r="Q51" s="131"/>
      <c r="R51" s="131"/>
      <c r="S51" s="131"/>
      <c r="T51" s="131"/>
      <c r="U51" s="131"/>
      <c r="V51" s="131">
        <f>70*0.5</f>
        <v>35</v>
      </c>
      <c r="W51" s="131"/>
      <c r="X51" s="131">
        <f>Y51+Z51+AA51+AB51+AC51</f>
        <v>105</v>
      </c>
      <c r="Y51" s="131">
        <f>17.5</f>
        <v>17.5</v>
      </c>
      <c r="Z51" s="131">
        <f>70*0.5+350*0.15</f>
        <v>87.5</v>
      </c>
      <c r="AA51" s="131"/>
      <c r="AB51" s="131"/>
      <c r="AC51" s="132"/>
      <c r="AD51" s="142"/>
      <c r="AE51" s="148" t="s">
        <v>282</v>
      </c>
      <c r="AF51" s="126"/>
    </row>
    <row r="52" spans="1:32" s="127" customFormat="1" ht="18" customHeight="1">
      <c r="A52" s="159" t="s">
        <v>216</v>
      </c>
      <c r="B52" s="137"/>
      <c r="C52" s="158" t="s">
        <v>34</v>
      </c>
      <c r="D52" s="158" t="s">
        <v>217</v>
      </c>
      <c r="E52" s="158" t="s">
        <v>225</v>
      </c>
      <c r="F52" s="136"/>
      <c r="G52" s="136">
        <v>2015</v>
      </c>
      <c r="H52" s="132">
        <f t="shared" si="10"/>
        <v>262.5</v>
      </c>
      <c r="I52" s="131">
        <f>21</f>
        <v>21</v>
      </c>
      <c r="J52" s="131">
        <f>168+42+210*0.15</f>
        <v>241.5</v>
      </c>
      <c r="K52" s="131"/>
      <c r="L52" s="131"/>
      <c r="M52" s="132"/>
      <c r="N52" s="208">
        <f>+SUM(O52:X52)</f>
        <v>262.5</v>
      </c>
      <c r="O52" s="131"/>
      <c r="P52" s="131">
        <f>10.5+168</f>
        <v>178.5</v>
      </c>
      <c r="Q52" s="131"/>
      <c r="R52" s="131"/>
      <c r="S52" s="131"/>
      <c r="T52" s="131"/>
      <c r="U52" s="131"/>
      <c r="V52" s="131">
        <f>42*0.5</f>
        <v>21</v>
      </c>
      <c r="W52" s="131"/>
      <c r="X52" s="131">
        <f>Y52+Z52+AA52+AB52+AC52</f>
        <v>63</v>
      </c>
      <c r="Y52" s="131">
        <f>10.5</f>
        <v>10.5</v>
      </c>
      <c r="Z52" s="131">
        <f>21+210*0.15</f>
        <v>52.5</v>
      </c>
      <c r="AA52" s="131"/>
      <c r="AB52" s="131"/>
      <c r="AC52" s="132"/>
      <c r="AD52" s="142"/>
      <c r="AE52" s="148" t="s">
        <v>282</v>
      </c>
      <c r="AF52" s="126"/>
    </row>
    <row r="53" spans="1:32" s="127" customFormat="1" ht="19.5" customHeight="1">
      <c r="A53" s="159" t="s">
        <v>216</v>
      </c>
      <c r="B53" s="137"/>
      <c r="C53" s="158" t="s">
        <v>34</v>
      </c>
      <c r="D53" s="158" t="s">
        <v>218</v>
      </c>
      <c r="E53" s="158" t="s">
        <v>224</v>
      </c>
      <c r="F53" s="136"/>
      <c r="G53" s="136">
        <v>2015</v>
      </c>
      <c r="H53" s="132">
        <f t="shared" si="10"/>
        <v>562.5</v>
      </c>
      <c r="I53" s="131">
        <f>45</f>
        <v>45</v>
      </c>
      <c r="J53" s="131">
        <f>360+90+450*0.15</f>
        <v>517.5</v>
      </c>
      <c r="K53" s="131"/>
      <c r="L53" s="131"/>
      <c r="M53" s="132"/>
      <c r="N53" s="208">
        <f>+SUM(O53:X53)</f>
        <v>562.5</v>
      </c>
      <c r="O53" s="131"/>
      <c r="P53" s="131">
        <v>360</v>
      </c>
      <c r="Q53" s="131"/>
      <c r="R53" s="131"/>
      <c r="S53" s="131"/>
      <c r="T53" s="131"/>
      <c r="U53" s="131"/>
      <c r="V53" s="131">
        <f>45*0.5+90*0.5</f>
        <v>67.5</v>
      </c>
      <c r="W53" s="131"/>
      <c r="X53" s="131">
        <f>Y53+Z53+AA53+AB53+AC53</f>
        <v>135</v>
      </c>
      <c r="Y53" s="131">
        <f>45*0.5</f>
        <v>22.5</v>
      </c>
      <c r="Z53" s="131">
        <f>90*0.5+450*0.15</f>
        <v>112.5</v>
      </c>
      <c r="AA53" s="131"/>
      <c r="AB53" s="131"/>
      <c r="AC53" s="132"/>
      <c r="AD53" s="142"/>
      <c r="AE53" s="148" t="s">
        <v>281</v>
      </c>
      <c r="AF53" s="126"/>
    </row>
    <row r="54" spans="1:32" s="127" customFormat="1" ht="19.5" customHeight="1">
      <c r="A54" s="138" t="s">
        <v>176</v>
      </c>
      <c r="B54" s="137"/>
      <c r="C54" s="133" t="s">
        <v>44</v>
      </c>
      <c r="D54" s="158" t="s">
        <v>270</v>
      </c>
      <c r="E54" s="158" t="s">
        <v>271</v>
      </c>
      <c r="F54" s="136">
        <v>7</v>
      </c>
      <c r="G54" s="136">
        <v>2015</v>
      </c>
      <c r="H54" s="132">
        <f t="shared" si="10"/>
        <v>250</v>
      </c>
      <c r="I54" s="131"/>
      <c r="J54" s="131">
        <v>250</v>
      </c>
      <c r="K54" s="131"/>
      <c r="L54" s="131"/>
      <c r="M54" s="132"/>
      <c r="N54" s="208">
        <f t="shared" si="9"/>
        <v>250</v>
      </c>
      <c r="O54" s="131"/>
      <c r="P54" s="131"/>
      <c r="Q54" s="131"/>
      <c r="R54" s="131"/>
      <c r="S54" s="131"/>
      <c r="T54" s="131"/>
      <c r="U54" s="131"/>
      <c r="V54" s="131">
        <v>50</v>
      </c>
      <c r="W54" s="131">
        <v>200</v>
      </c>
      <c r="X54" s="131">
        <f t="shared" si="11"/>
        <v>0</v>
      </c>
      <c r="Y54" s="131"/>
      <c r="Z54" s="131">
        <v>0</v>
      </c>
      <c r="AA54" s="131"/>
      <c r="AB54" s="131"/>
      <c r="AC54" s="132"/>
      <c r="AD54" s="142">
        <v>20</v>
      </c>
      <c r="AE54" s="126" t="s">
        <v>272</v>
      </c>
      <c r="AF54" s="126"/>
    </row>
    <row r="55" spans="1:32" s="127" customFormat="1" ht="19.5" customHeight="1">
      <c r="A55" s="159" t="s">
        <v>206</v>
      </c>
      <c r="B55" s="137"/>
      <c r="C55" s="158" t="s">
        <v>46</v>
      </c>
      <c r="D55" s="158" t="s">
        <v>181</v>
      </c>
      <c r="E55" s="158" t="s">
        <v>120</v>
      </c>
      <c r="F55" s="136">
        <v>7</v>
      </c>
      <c r="G55" s="136">
        <v>2015</v>
      </c>
      <c r="H55" s="132">
        <f t="shared" si="10"/>
        <v>900</v>
      </c>
      <c r="I55" s="131"/>
      <c r="J55" s="131">
        <v>900</v>
      </c>
      <c r="K55" s="131"/>
      <c r="L55" s="131"/>
      <c r="M55" s="132"/>
      <c r="N55" s="208">
        <f t="shared" si="9"/>
        <v>900</v>
      </c>
      <c r="O55" s="131"/>
      <c r="P55" s="131"/>
      <c r="Q55" s="131"/>
      <c r="R55" s="131"/>
      <c r="S55" s="131"/>
      <c r="T55" s="131"/>
      <c r="U55" s="131">
        <v>500</v>
      </c>
      <c r="V55" s="131"/>
      <c r="W55" s="131">
        <v>400</v>
      </c>
      <c r="X55" s="131">
        <f t="shared" si="11"/>
        <v>0</v>
      </c>
      <c r="Y55" s="131"/>
      <c r="Z55" s="131">
        <v>0</v>
      </c>
      <c r="AA55" s="131"/>
      <c r="AB55" s="131"/>
      <c r="AC55" s="132"/>
      <c r="AD55" s="142"/>
      <c r="AE55" s="148" t="s">
        <v>290</v>
      </c>
      <c r="AF55" s="126"/>
    </row>
    <row r="56" spans="1:32" s="127" customFormat="1" ht="19.5" customHeight="1">
      <c r="A56" s="138" t="s">
        <v>165</v>
      </c>
      <c r="B56" s="137">
        <v>3</v>
      </c>
      <c r="C56" s="133" t="s">
        <v>41</v>
      </c>
      <c r="D56" s="158" t="s">
        <v>183</v>
      </c>
      <c r="E56" s="158" t="s">
        <v>120</v>
      </c>
      <c r="F56" s="136">
        <v>6</v>
      </c>
      <c r="G56" s="136">
        <v>2015</v>
      </c>
      <c r="H56" s="132">
        <f t="shared" si="10"/>
        <v>880</v>
      </c>
      <c r="I56" s="131" t="s">
        <v>161</v>
      </c>
      <c r="J56" s="131">
        <v>880</v>
      </c>
      <c r="K56" s="131"/>
      <c r="L56" s="131"/>
      <c r="M56" s="132"/>
      <c r="N56" s="208">
        <f t="shared" si="9"/>
        <v>880</v>
      </c>
      <c r="O56" s="131"/>
      <c r="P56" s="131"/>
      <c r="Q56" s="131"/>
      <c r="R56" s="131">
        <v>450</v>
      </c>
      <c r="S56" s="131"/>
      <c r="T56" s="131"/>
      <c r="U56" s="131"/>
      <c r="V56" s="131">
        <v>430</v>
      </c>
      <c r="W56" s="131"/>
      <c r="X56" s="131">
        <f t="shared" si="11"/>
        <v>0</v>
      </c>
      <c r="Y56" s="131"/>
      <c r="Z56" s="131">
        <v>0</v>
      </c>
      <c r="AA56" s="131"/>
      <c r="AB56" s="131"/>
      <c r="AC56" s="132"/>
      <c r="AD56" s="142">
        <v>0</v>
      </c>
      <c r="AE56" s="148" t="s">
        <v>290</v>
      </c>
      <c r="AF56" s="126"/>
    </row>
    <row r="57" spans="1:32" s="127" customFormat="1" ht="19.5" customHeight="1">
      <c r="A57" s="159" t="s">
        <v>244</v>
      </c>
      <c r="B57" s="137"/>
      <c r="C57" s="158" t="s">
        <v>238</v>
      </c>
      <c r="D57" s="158" t="s">
        <v>245</v>
      </c>
      <c r="E57" s="158" t="s">
        <v>223</v>
      </c>
      <c r="F57" s="136"/>
      <c r="G57" s="136">
        <v>2016</v>
      </c>
      <c r="H57" s="132">
        <f t="shared" si="10"/>
        <v>625</v>
      </c>
      <c r="I57" s="131"/>
      <c r="J57" s="131"/>
      <c r="K57" s="131">
        <v>625</v>
      </c>
      <c r="L57" s="131"/>
      <c r="M57" s="132"/>
      <c r="N57" s="208">
        <f t="shared" si="9"/>
        <v>625</v>
      </c>
      <c r="O57" s="131"/>
      <c r="P57" s="131"/>
      <c r="Q57" s="131"/>
      <c r="R57" s="131"/>
      <c r="S57" s="131"/>
      <c r="T57" s="131"/>
      <c r="U57" s="131"/>
      <c r="V57" s="131"/>
      <c r="W57" s="131">
        <v>500</v>
      </c>
      <c r="X57" s="131">
        <f t="shared" si="11"/>
        <v>125</v>
      </c>
      <c r="Y57" s="131"/>
      <c r="Z57" s="131"/>
      <c r="AA57" s="131">
        <v>125</v>
      </c>
      <c r="AB57" s="131"/>
      <c r="AC57" s="132"/>
      <c r="AD57" s="142"/>
      <c r="AE57" s="148" t="s">
        <v>290</v>
      </c>
      <c r="AF57" s="126"/>
    </row>
    <row r="58" spans="1:32" s="127" customFormat="1" ht="19.5" customHeight="1">
      <c r="A58" s="159" t="s">
        <v>250</v>
      </c>
      <c r="B58" s="137"/>
      <c r="C58" s="158" t="s">
        <v>46</v>
      </c>
      <c r="D58" s="158" t="s">
        <v>251</v>
      </c>
      <c r="E58" s="158" t="s">
        <v>48</v>
      </c>
      <c r="F58" s="136"/>
      <c r="G58" s="136">
        <v>2016</v>
      </c>
      <c r="H58" s="132">
        <f t="shared" si="10"/>
        <v>625</v>
      </c>
      <c r="I58" s="131"/>
      <c r="J58" s="131"/>
      <c r="K58" s="131">
        <v>625</v>
      </c>
      <c r="L58" s="131"/>
      <c r="M58" s="132"/>
      <c r="N58" s="208">
        <f t="shared" si="9"/>
        <v>625</v>
      </c>
      <c r="O58" s="131"/>
      <c r="P58" s="131"/>
      <c r="Q58" s="131"/>
      <c r="R58" s="131"/>
      <c r="S58" s="131"/>
      <c r="T58" s="131"/>
      <c r="U58" s="131"/>
      <c r="V58" s="131"/>
      <c r="W58" s="131">
        <v>500</v>
      </c>
      <c r="X58" s="131">
        <f t="shared" si="11"/>
        <v>125</v>
      </c>
      <c r="Y58" s="131"/>
      <c r="Z58" s="131"/>
      <c r="AA58" s="131">
        <v>125</v>
      </c>
      <c r="AB58" s="131"/>
      <c r="AC58" s="132"/>
      <c r="AD58" s="142"/>
      <c r="AE58" s="148" t="s">
        <v>290</v>
      </c>
      <c r="AF58" s="126"/>
    </row>
    <row r="59" spans="1:32" s="127" customFormat="1" ht="19.5" customHeight="1">
      <c r="A59" s="159" t="s">
        <v>219</v>
      </c>
      <c r="B59" s="137"/>
      <c r="C59" s="158" t="s">
        <v>248</v>
      </c>
      <c r="D59" s="158" t="s">
        <v>249</v>
      </c>
      <c r="E59" s="158" t="s">
        <v>48</v>
      </c>
      <c r="F59" s="136"/>
      <c r="G59" s="136">
        <v>2016</v>
      </c>
      <c r="H59" s="132">
        <f t="shared" si="10"/>
        <v>250</v>
      </c>
      <c r="I59" s="131"/>
      <c r="J59" s="131"/>
      <c r="K59" s="131">
        <v>250</v>
      </c>
      <c r="L59" s="131"/>
      <c r="M59" s="132"/>
      <c r="N59" s="208">
        <f t="shared" si="9"/>
        <v>250</v>
      </c>
      <c r="O59" s="131"/>
      <c r="P59" s="131"/>
      <c r="Q59" s="131"/>
      <c r="R59" s="131"/>
      <c r="S59" s="131"/>
      <c r="T59" s="131"/>
      <c r="U59" s="131"/>
      <c r="V59" s="131"/>
      <c r="W59" s="131">
        <v>200</v>
      </c>
      <c r="X59" s="131">
        <f t="shared" si="11"/>
        <v>50</v>
      </c>
      <c r="Y59" s="131"/>
      <c r="Z59" s="131"/>
      <c r="AA59" s="131">
        <v>50</v>
      </c>
      <c r="AB59" s="131"/>
      <c r="AC59" s="132"/>
      <c r="AD59" s="142"/>
      <c r="AE59" s="148" t="s">
        <v>290</v>
      </c>
      <c r="AF59" s="126"/>
    </row>
    <row r="60" spans="1:32" s="127" customFormat="1" ht="19.5" customHeight="1">
      <c r="A60" s="159" t="s">
        <v>184</v>
      </c>
      <c r="B60" s="137">
        <v>35</v>
      </c>
      <c r="C60" s="158" t="s">
        <v>41</v>
      </c>
      <c r="D60" s="158" t="s">
        <v>234</v>
      </c>
      <c r="E60" s="133" t="s">
        <v>48</v>
      </c>
      <c r="F60" s="136">
        <v>8</v>
      </c>
      <c r="G60" s="136">
        <v>2016</v>
      </c>
      <c r="H60" s="132">
        <f t="shared" si="10"/>
        <v>825</v>
      </c>
      <c r="I60" s="131"/>
      <c r="J60" s="131"/>
      <c r="K60" s="131">
        <v>825</v>
      </c>
      <c r="L60" s="131"/>
      <c r="M60" s="132"/>
      <c r="N60" s="208">
        <f t="shared" si="9"/>
        <v>825</v>
      </c>
      <c r="O60" s="131"/>
      <c r="P60" s="131"/>
      <c r="Q60" s="131"/>
      <c r="R60" s="131">
        <v>165</v>
      </c>
      <c r="S60" s="131"/>
      <c r="T60" s="131"/>
      <c r="U60" s="131">
        <v>412</v>
      </c>
      <c r="V60" s="131"/>
      <c r="W60" s="131">
        <v>248</v>
      </c>
      <c r="X60" s="131">
        <f t="shared" si="11"/>
        <v>0</v>
      </c>
      <c r="Y60" s="131"/>
      <c r="Z60" s="131"/>
      <c r="AA60" s="131">
        <v>0</v>
      </c>
      <c r="AB60" s="131"/>
      <c r="AC60" s="132"/>
      <c r="AD60" s="142">
        <f>AC60+AA60+Z60+AB60+Y60</f>
        <v>0</v>
      </c>
      <c r="AE60" s="148" t="s">
        <v>290</v>
      </c>
      <c r="AF60" s="126"/>
    </row>
    <row r="61" spans="1:32" s="127" customFormat="1" ht="19.5" customHeight="1">
      <c r="A61" s="159" t="s">
        <v>246</v>
      </c>
      <c r="B61" s="137"/>
      <c r="C61" s="158" t="s">
        <v>238</v>
      </c>
      <c r="D61" s="158" t="s">
        <v>247</v>
      </c>
      <c r="E61" s="158" t="s">
        <v>48</v>
      </c>
      <c r="F61" s="136"/>
      <c r="G61" s="136">
        <v>2016</v>
      </c>
      <c r="H61" s="132">
        <f t="shared" si="10"/>
        <v>500</v>
      </c>
      <c r="I61" s="131"/>
      <c r="J61" s="131"/>
      <c r="K61" s="131">
        <v>500</v>
      </c>
      <c r="L61" s="131"/>
      <c r="M61" s="132"/>
      <c r="N61" s="208">
        <f t="shared" si="9"/>
        <v>500</v>
      </c>
      <c r="O61" s="131"/>
      <c r="P61" s="131"/>
      <c r="Q61" s="131"/>
      <c r="R61" s="131"/>
      <c r="S61" s="131"/>
      <c r="T61" s="131"/>
      <c r="U61" s="131"/>
      <c r="V61" s="131"/>
      <c r="W61" s="131">
        <v>400</v>
      </c>
      <c r="X61" s="131">
        <f t="shared" si="11"/>
        <v>100</v>
      </c>
      <c r="Y61" s="131"/>
      <c r="Z61" s="131"/>
      <c r="AA61" s="131">
        <v>100</v>
      </c>
      <c r="AB61" s="131"/>
      <c r="AC61" s="132"/>
      <c r="AD61" s="142"/>
      <c r="AE61" s="148" t="s">
        <v>290</v>
      </c>
      <c r="AF61" s="126"/>
    </row>
    <row r="62" spans="1:32" s="127" customFormat="1" ht="19.5" customHeight="1">
      <c r="A62" s="159" t="s">
        <v>153</v>
      </c>
      <c r="B62" s="137"/>
      <c r="C62" s="158" t="s">
        <v>252</v>
      </c>
      <c r="D62" s="158" t="s">
        <v>253</v>
      </c>
      <c r="E62" s="158" t="s">
        <v>48</v>
      </c>
      <c r="F62" s="136"/>
      <c r="G62" s="136">
        <v>2017</v>
      </c>
      <c r="H62" s="132">
        <f t="shared" si="10"/>
        <v>625</v>
      </c>
      <c r="I62" s="131"/>
      <c r="J62" s="131"/>
      <c r="K62" s="131"/>
      <c r="L62" s="131">
        <v>625</v>
      </c>
      <c r="M62" s="132"/>
      <c r="N62" s="208">
        <f t="shared" si="9"/>
        <v>625</v>
      </c>
      <c r="O62" s="131"/>
      <c r="P62" s="131"/>
      <c r="Q62" s="131"/>
      <c r="R62" s="131"/>
      <c r="S62" s="131"/>
      <c r="T62" s="131"/>
      <c r="U62" s="131"/>
      <c r="V62" s="131"/>
      <c r="W62" s="131">
        <v>500</v>
      </c>
      <c r="X62" s="131">
        <f t="shared" si="11"/>
        <v>125</v>
      </c>
      <c r="Y62" s="131"/>
      <c r="Z62" s="131"/>
      <c r="AA62" s="131"/>
      <c r="AB62" s="131">
        <v>125</v>
      </c>
      <c r="AC62" s="132"/>
      <c r="AD62" s="142"/>
      <c r="AE62" s="148" t="s">
        <v>290</v>
      </c>
      <c r="AF62" s="126"/>
    </row>
    <row r="63" spans="1:32" s="127" customFormat="1" ht="19.5" customHeight="1">
      <c r="A63" s="159" t="s">
        <v>254</v>
      </c>
      <c r="B63" s="137"/>
      <c r="C63" s="158" t="s">
        <v>46</v>
      </c>
      <c r="D63" s="158" t="s">
        <v>60</v>
      </c>
      <c r="E63" s="158" t="s">
        <v>226</v>
      </c>
      <c r="F63" s="136"/>
      <c r="G63" s="136">
        <v>2017</v>
      </c>
      <c r="H63" s="132">
        <f t="shared" si="10"/>
        <v>875</v>
      </c>
      <c r="I63" s="131"/>
      <c r="J63" s="131"/>
      <c r="K63" s="131"/>
      <c r="L63" s="131">
        <v>875</v>
      </c>
      <c r="M63" s="132"/>
      <c r="N63" s="208">
        <f t="shared" si="9"/>
        <v>875</v>
      </c>
      <c r="O63" s="131"/>
      <c r="P63" s="131"/>
      <c r="Q63" s="131"/>
      <c r="R63" s="131"/>
      <c r="S63" s="131"/>
      <c r="T63" s="131"/>
      <c r="U63" s="131"/>
      <c r="V63" s="131"/>
      <c r="W63" s="131">
        <v>700</v>
      </c>
      <c r="X63" s="131">
        <f t="shared" si="11"/>
        <v>175</v>
      </c>
      <c r="Y63" s="131"/>
      <c r="Z63" s="131"/>
      <c r="AA63" s="131"/>
      <c r="AB63" s="131">
        <v>175</v>
      </c>
      <c r="AC63" s="132"/>
      <c r="AD63" s="142"/>
      <c r="AE63" s="148" t="s">
        <v>290</v>
      </c>
      <c r="AF63" s="126"/>
    </row>
    <row r="64" spans="1:32" s="127" customFormat="1" ht="18" customHeight="1">
      <c r="A64" s="159" t="s">
        <v>185</v>
      </c>
      <c r="B64" s="137">
        <v>26</v>
      </c>
      <c r="C64" s="133" t="s">
        <v>43</v>
      </c>
      <c r="D64" s="133" t="s">
        <v>117</v>
      </c>
      <c r="E64" s="133" t="s">
        <v>158</v>
      </c>
      <c r="F64" s="136">
        <v>6</v>
      </c>
      <c r="G64" s="136">
        <v>2018</v>
      </c>
      <c r="H64" s="132">
        <f t="shared" si="10"/>
        <v>1803</v>
      </c>
      <c r="I64" s="131"/>
      <c r="J64" s="131"/>
      <c r="K64" s="131"/>
      <c r="L64" s="131">
        <v>100</v>
      </c>
      <c r="M64" s="132">
        <v>1703</v>
      </c>
      <c r="N64" s="208">
        <f t="shared" si="9"/>
        <v>1803</v>
      </c>
      <c r="O64" s="131"/>
      <c r="P64" s="131"/>
      <c r="Q64" s="131"/>
      <c r="R64" s="131"/>
      <c r="S64" s="131"/>
      <c r="T64" s="131"/>
      <c r="U64" s="131"/>
      <c r="V64" s="131">
        <v>1015</v>
      </c>
      <c r="W64" s="131">
        <v>628</v>
      </c>
      <c r="X64" s="131">
        <f>SUM((Y64:AC64))</f>
        <v>160</v>
      </c>
      <c r="Y64" s="203"/>
      <c r="Z64" s="131"/>
      <c r="AA64" s="131" t="s">
        <v>161</v>
      </c>
      <c r="AB64" s="131"/>
      <c r="AC64" s="132">
        <v>160</v>
      </c>
      <c r="AD64" s="142">
        <v>157</v>
      </c>
      <c r="AE64" s="148" t="s">
        <v>290</v>
      </c>
      <c r="AF64" s="126"/>
    </row>
    <row r="65" spans="1:32" s="185" customFormat="1" ht="12" customHeight="1" thickBot="1">
      <c r="A65" s="172"/>
      <c r="B65" s="173"/>
      <c r="C65" s="174"/>
      <c r="D65" s="174"/>
      <c r="E65" s="174"/>
      <c r="F65" s="175"/>
      <c r="G65" s="181"/>
      <c r="H65" s="182"/>
      <c r="I65" s="183"/>
      <c r="J65" s="183"/>
      <c r="K65" s="183"/>
      <c r="L65" s="183"/>
      <c r="M65" s="182"/>
      <c r="N65" s="208">
        <f t="shared" si="9"/>
        <v>0</v>
      </c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2"/>
      <c r="AD65" s="178"/>
      <c r="AE65" s="184"/>
      <c r="AF65" s="184"/>
    </row>
    <row r="66" spans="1:31" ht="19.5" customHeight="1" thickBot="1">
      <c r="A66" s="144">
        <v>41589</v>
      </c>
      <c r="B66" s="57"/>
      <c r="C66" s="16"/>
      <c r="D66" s="16"/>
      <c r="E66" s="16"/>
      <c r="F66" s="16"/>
      <c r="G66" s="186" t="s">
        <v>76</v>
      </c>
      <c r="H66" s="187">
        <f>SUM(H4:H65)</f>
        <v>46978.5</v>
      </c>
      <c r="I66" s="151">
        <f>SUM(I5:I65)</f>
        <v>17149</v>
      </c>
      <c r="J66" s="151">
        <f>SUM(J5:J65)</f>
        <v>11853.5</v>
      </c>
      <c r="K66" s="152">
        <f>SUM(K5:K65)</f>
        <v>6082</v>
      </c>
      <c r="L66" s="153">
        <f>SUM(L5:L65)</f>
        <v>5576</v>
      </c>
      <c r="M66" s="151">
        <f>SUM(M5:M65)</f>
        <v>5318</v>
      </c>
      <c r="N66" s="208">
        <f t="shared" si="9"/>
        <v>46977.85</v>
      </c>
      <c r="O66" s="187">
        <f aca="true" t="shared" si="12" ref="O66:W66">SUM(O4:O65)</f>
        <v>1110</v>
      </c>
      <c r="P66" s="187">
        <f t="shared" si="12"/>
        <v>2334</v>
      </c>
      <c r="Q66" s="187">
        <f t="shared" si="12"/>
        <v>2642</v>
      </c>
      <c r="R66" s="187">
        <f t="shared" si="12"/>
        <v>2797</v>
      </c>
      <c r="S66" s="187">
        <f t="shared" si="12"/>
        <v>373</v>
      </c>
      <c r="T66" s="187">
        <f t="shared" si="12"/>
        <v>0</v>
      </c>
      <c r="U66" s="187">
        <f t="shared" si="12"/>
        <v>4651</v>
      </c>
      <c r="V66" s="187">
        <f t="shared" si="12"/>
        <v>8618.5</v>
      </c>
      <c r="W66" s="187">
        <f t="shared" si="12"/>
        <v>14799</v>
      </c>
      <c r="X66" s="155">
        <f>Y66+Z66+AA66+AB66+AC66</f>
        <v>9653.35</v>
      </c>
      <c r="Y66" s="156">
        <f>SUM(Y4:Y65)</f>
        <v>3033.35</v>
      </c>
      <c r="Z66" s="156">
        <f>SUM(Z4:Z65)</f>
        <v>2387</v>
      </c>
      <c r="AA66" s="156">
        <f>SUM(AA4:AA65)</f>
        <v>1436</v>
      </c>
      <c r="AB66" s="156">
        <f>SUM(AB4:AB65)</f>
        <v>1494</v>
      </c>
      <c r="AC66" s="156">
        <f>SUM(AC4:AC65)</f>
        <v>1303</v>
      </c>
      <c r="AD66" s="154">
        <f>SUM(AD5:AD65)</f>
        <v>6121.5</v>
      </c>
      <c r="AE66" s="147">
        <f>SUM(O66+P66+Q66+R66+S66+T66+U66+V66+W66)+SUM(X66)</f>
        <v>46977.85</v>
      </c>
    </row>
    <row r="67" spans="1:30" ht="15.75" thickBot="1">
      <c r="A67" s="145"/>
      <c r="B67" s="58"/>
      <c r="C67" s="8"/>
      <c r="D67" s="8"/>
      <c r="E67" s="8"/>
      <c r="F67" s="8"/>
      <c r="G67" s="8"/>
      <c r="H67" s="8"/>
      <c r="I67" s="8"/>
      <c r="J67" s="8"/>
      <c r="K67" s="8"/>
      <c r="L67" s="139"/>
      <c r="M67" s="139"/>
      <c r="N67" s="209"/>
      <c r="O67" s="8"/>
      <c r="P67" s="8"/>
      <c r="Q67" s="8"/>
      <c r="R67" s="8"/>
      <c r="S67" s="8"/>
      <c r="T67" s="8"/>
      <c r="U67" s="8"/>
      <c r="V67" s="8"/>
      <c r="W67" s="8"/>
      <c r="X67" s="143"/>
      <c r="Y67" s="8"/>
      <c r="Z67" s="8"/>
      <c r="AA67" s="8"/>
      <c r="AB67" s="8"/>
      <c r="AC67" s="146"/>
      <c r="AD67" s="143">
        <f>SUM(AD5:AD65)</f>
        <v>6121.5</v>
      </c>
    </row>
    <row r="68" spans="1:30" s="150" customFormat="1" ht="40.5" customHeight="1">
      <c r="A68" s="222" t="s">
        <v>164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</row>
    <row r="69" spans="1:30" ht="51.7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</row>
    <row r="70" spans="1:30" ht="51.7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</row>
    <row r="71" spans="12:25" ht="12.75">
      <c r="L71" s="205">
        <f>SUM(I66:M66)</f>
        <v>45978.5</v>
      </c>
      <c r="W71" s="7">
        <f>SUM(O66:W66)</f>
        <v>37324.5</v>
      </c>
      <c r="Y71" s="7">
        <f>SUM(Y66:AC66)</f>
        <v>9653.35</v>
      </c>
    </row>
    <row r="75" ht="12.75">
      <c r="Y75" s="7">
        <f>SUM(W71:Y71)</f>
        <v>46977.85</v>
      </c>
    </row>
  </sheetData>
  <sheetProtection/>
  <mergeCells count="6">
    <mergeCell ref="A70:AD70"/>
    <mergeCell ref="A69:AD69"/>
    <mergeCell ref="A1:AD1"/>
    <mergeCell ref="I2:K2"/>
    <mergeCell ref="A2:H2"/>
    <mergeCell ref="A68:AD68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17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zoomScale="65" zoomScaleNormal="65" zoomScalePageLayoutView="0" workbookViewId="0" topLeftCell="A1">
      <pane xSplit="1" ySplit="3" topLeftCell="B2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4" sqref="A4"/>
    </sheetView>
  </sheetViews>
  <sheetFormatPr defaultColWidth="9.140625" defaultRowHeight="12.75"/>
  <cols>
    <col min="1" max="1" width="38.421875" style="0" customWidth="1"/>
    <col min="2" max="2" width="8.8515625" style="0" customWidth="1"/>
    <col min="3" max="3" width="24.140625" style="0" customWidth="1"/>
    <col min="4" max="4" width="42.421875" style="0" customWidth="1"/>
    <col min="5" max="5" width="27.8515625" style="0" customWidth="1"/>
    <col min="6" max="6" width="14.421875" style="0" customWidth="1"/>
    <col min="7" max="7" width="15.28125" style="0" customWidth="1"/>
    <col min="8" max="8" width="12.421875" style="0" customWidth="1"/>
    <col min="11" max="11" width="9.421875" style="0" bestFit="1" customWidth="1"/>
    <col min="15" max="15" width="12.421875" style="0" hidden="1" customWidth="1"/>
  </cols>
  <sheetData>
    <row r="1" spans="1:30" ht="33.75" customHeight="1" thickBot="1">
      <c r="A1" s="224" t="s">
        <v>144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19" ht="30.75" customHeight="1" thickBot="1">
      <c r="A2" s="226" t="s">
        <v>145</v>
      </c>
      <c r="B2" s="227"/>
      <c r="C2" s="227"/>
      <c r="D2" s="227"/>
      <c r="E2" s="227"/>
      <c r="F2" s="227"/>
      <c r="G2" s="227"/>
      <c r="H2" s="228"/>
      <c r="I2" s="226" t="s">
        <v>82</v>
      </c>
      <c r="J2" s="229"/>
      <c r="K2" s="229"/>
      <c r="L2" s="229"/>
      <c r="M2" s="229"/>
      <c r="N2" s="229"/>
      <c r="O2" s="236" t="s">
        <v>146</v>
      </c>
      <c r="P2" s="101"/>
      <c r="Q2" s="17"/>
      <c r="R2" s="17"/>
      <c r="S2" s="17"/>
    </row>
    <row r="3" spans="1:16" ht="30.75">
      <c r="A3" s="72" t="s">
        <v>0</v>
      </c>
      <c r="B3" s="51" t="s">
        <v>143</v>
      </c>
      <c r="C3" s="51" t="s">
        <v>1</v>
      </c>
      <c r="D3" s="51" t="s">
        <v>58</v>
      </c>
      <c r="E3" s="51" t="s">
        <v>13</v>
      </c>
      <c r="F3" s="51" t="s">
        <v>7</v>
      </c>
      <c r="G3" s="52" t="s">
        <v>6</v>
      </c>
      <c r="H3" s="53" t="s">
        <v>14</v>
      </c>
      <c r="I3" s="54" t="s">
        <v>8</v>
      </c>
      <c r="J3" s="55" t="s">
        <v>9</v>
      </c>
      <c r="K3" s="99" t="s">
        <v>151</v>
      </c>
      <c r="L3" s="55" t="s">
        <v>10</v>
      </c>
      <c r="M3" s="55" t="s">
        <v>11</v>
      </c>
      <c r="N3" s="56" t="s">
        <v>12</v>
      </c>
      <c r="O3" s="237"/>
      <c r="P3" s="102"/>
    </row>
    <row r="4" spans="1:16" ht="19.5" customHeight="1">
      <c r="A4" s="60" t="s">
        <v>15</v>
      </c>
      <c r="B4" s="19">
        <v>1</v>
      </c>
      <c r="C4" s="18" t="s">
        <v>41</v>
      </c>
      <c r="D4" s="18" t="s">
        <v>65</v>
      </c>
      <c r="E4" s="18" t="s">
        <v>47</v>
      </c>
      <c r="F4" s="19">
        <v>9</v>
      </c>
      <c r="G4" s="19">
        <v>2008</v>
      </c>
      <c r="H4" s="20" t="e">
        <f>'Expenditures &amp; Funding Sources'!#REF!</f>
        <v>#REF!</v>
      </c>
      <c r="I4" s="21"/>
      <c r="J4" s="27">
        <v>0</v>
      </c>
      <c r="K4" s="92">
        <v>100</v>
      </c>
      <c r="L4" s="22"/>
      <c r="M4" s="22"/>
      <c r="N4" s="65"/>
      <c r="O4" s="76">
        <f>SUM(I4:N4)</f>
        <v>100</v>
      </c>
      <c r="P4" s="103"/>
    </row>
    <row r="5" spans="1:16" ht="19.5" customHeight="1">
      <c r="A5" s="61" t="s">
        <v>16</v>
      </c>
      <c r="B5" s="24">
        <v>2</v>
      </c>
      <c r="C5" s="23" t="s">
        <v>41</v>
      </c>
      <c r="D5" s="23" t="s">
        <v>66</v>
      </c>
      <c r="E5" s="23" t="s">
        <v>48</v>
      </c>
      <c r="F5" s="24">
        <v>9</v>
      </c>
      <c r="G5" s="24">
        <v>2008</v>
      </c>
      <c r="H5" s="25" t="e">
        <f>'Expenditures &amp; Funding Sources'!#REF!</f>
        <v>#REF!</v>
      </c>
      <c r="I5" s="26"/>
      <c r="J5" s="27">
        <v>20</v>
      </c>
      <c r="K5" s="92">
        <f>20-20</f>
        <v>0</v>
      </c>
      <c r="L5" s="27"/>
      <c r="M5" s="27"/>
      <c r="N5" s="66"/>
      <c r="O5" s="77">
        <f aca="true" t="shared" si="0" ref="O5:O59">SUM(I5:N5)</f>
        <v>20</v>
      </c>
      <c r="P5" s="103"/>
    </row>
    <row r="6" spans="1:16" ht="19.5" customHeight="1">
      <c r="A6" s="61" t="s">
        <v>80</v>
      </c>
      <c r="B6" s="24">
        <v>3</v>
      </c>
      <c r="C6" s="23" t="s">
        <v>41</v>
      </c>
      <c r="D6" s="23" t="s">
        <v>88</v>
      </c>
      <c r="E6" s="23" t="s">
        <v>54</v>
      </c>
      <c r="F6" s="24">
        <v>8</v>
      </c>
      <c r="G6" s="24">
        <v>2009</v>
      </c>
      <c r="H6" s="25" t="e">
        <f>'Expenditures &amp; Funding Sources'!#REF!</f>
        <v>#REF!</v>
      </c>
      <c r="I6" s="26"/>
      <c r="J6" s="27"/>
      <c r="K6" s="84"/>
      <c r="L6" s="27"/>
      <c r="M6" s="27"/>
      <c r="N6" s="66"/>
      <c r="O6" s="77">
        <f t="shared" si="0"/>
        <v>0</v>
      </c>
      <c r="P6" s="103"/>
    </row>
    <row r="7" spans="1:16" ht="19.5" customHeight="1">
      <c r="A7" s="61" t="s">
        <v>104</v>
      </c>
      <c r="B7" s="24">
        <v>4</v>
      </c>
      <c r="C7" s="23" t="s">
        <v>105</v>
      </c>
      <c r="D7" s="23" t="s">
        <v>106</v>
      </c>
      <c r="E7" s="28" t="s">
        <v>50</v>
      </c>
      <c r="F7" s="29">
        <v>7</v>
      </c>
      <c r="G7" s="24">
        <v>2009</v>
      </c>
      <c r="H7" s="25" t="e">
        <f>'Expenditures &amp; Funding Sources'!#REF!</f>
        <v>#REF!</v>
      </c>
      <c r="I7" s="30"/>
      <c r="J7" s="27">
        <v>130</v>
      </c>
      <c r="K7" s="111">
        <f>130-130</f>
        <v>0</v>
      </c>
      <c r="L7" s="111">
        <v>130</v>
      </c>
      <c r="M7" s="27"/>
      <c r="N7" s="66"/>
      <c r="O7" s="77">
        <f t="shared" si="0"/>
        <v>260</v>
      </c>
      <c r="P7" s="103"/>
    </row>
    <row r="8" spans="1:16" ht="19.5" customHeight="1">
      <c r="A8" s="63" t="s">
        <v>107</v>
      </c>
      <c r="B8" s="32">
        <v>5</v>
      </c>
      <c r="C8" s="31" t="s">
        <v>105</v>
      </c>
      <c r="D8" s="31" t="s">
        <v>108</v>
      </c>
      <c r="E8" s="33" t="s">
        <v>50</v>
      </c>
      <c r="F8" s="34">
        <v>7</v>
      </c>
      <c r="G8" s="34">
        <v>2009</v>
      </c>
      <c r="H8" s="35" t="e">
        <f>'Expenditures &amp; Funding Sources'!#REF!</f>
        <v>#REF!</v>
      </c>
      <c r="I8" s="36"/>
      <c r="J8" s="37">
        <v>100</v>
      </c>
      <c r="K8" s="110">
        <f>100-100</f>
        <v>0</v>
      </c>
      <c r="L8" s="110">
        <v>100</v>
      </c>
      <c r="M8" s="37"/>
      <c r="N8" s="67"/>
      <c r="O8" s="77">
        <f t="shared" si="0"/>
        <v>200</v>
      </c>
      <c r="P8" s="103"/>
    </row>
    <row r="9" spans="1:16" ht="12" customHeight="1">
      <c r="A9" s="59"/>
      <c r="B9" s="11"/>
      <c r="C9" s="10"/>
      <c r="D9" s="10"/>
      <c r="E9" s="10"/>
      <c r="F9" s="11"/>
      <c r="G9" s="11"/>
      <c r="H9" s="12"/>
      <c r="I9" s="13"/>
      <c r="J9" s="13"/>
      <c r="K9" s="13"/>
      <c r="L9" s="13"/>
      <c r="M9" s="13"/>
      <c r="N9" s="68"/>
      <c r="O9" s="78"/>
      <c r="P9" s="103"/>
    </row>
    <row r="10" spans="1:16" ht="19.5" customHeight="1">
      <c r="A10" s="60" t="s">
        <v>109</v>
      </c>
      <c r="B10" s="19">
        <v>6</v>
      </c>
      <c r="C10" s="18" t="s">
        <v>105</v>
      </c>
      <c r="D10" s="18" t="s">
        <v>110</v>
      </c>
      <c r="E10" s="38" t="s">
        <v>50</v>
      </c>
      <c r="F10" s="39">
        <v>7</v>
      </c>
      <c r="G10" s="19">
        <v>2009</v>
      </c>
      <c r="H10" s="20" t="e">
        <f>'Expenditures &amp; Funding Sources'!#REF!</f>
        <v>#REF!</v>
      </c>
      <c r="I10" s="40"/>
      <c r="J10" s="22">
        <v>160</v>
      </c>
      <c r="K10" s="92">
        <f>160-160</f>
        <v>0</v>
      </c>
      <c r="L10" s="92">
        <v>160</v>
      </c>
      <c r="M10" s="22"/>
      <c r="N10" s="65"/>
      <c r="O10" s="77">
        <f t="shared" si="0"/>
        <v>320</v>
      </c>
      <c r="P10" s="103"/>
    </row>
    <row r="11" spans="1:16" ht="19.5" customHeight="1">
      <c r="A11" s="62" t="s">
        <v>17</v>
      </c>
      <c r="B11" s="29">
        <v>7</v>
      </c>
      <c r="C11" s="23" t="s">
        <v>42</v>
      </c>
      <c r="D11" s="23" t="s">
        <v>67</v>
      </c>
      <c r="E11" s="23" t="s">
        <v>49</v>
      </c>
      <c r="F11" s="24">
        <v>8</v>
      </c>
      <c r="G11" s="24">
        <v>2009</v>
      </c>
      <c r="H11" s="25" t="e">
        <f>'Expenditures &amp; Funding Sources'!#REF!</f>
        <v>#REF!</v>
      </c>
      <c r="I11" s="26"/>
      <c r="J11" s="27"/>
      <c r="K11" s="27"/>
      <c r="L11" s="27"/>
      <c r="M11" s="27"/>
      <c r="N11" s="66"/>
      <c r="O11" s="77">
        <f t="shared" si="0"/>
        <v>0</v>
      </c>
      <c r="P11" s="103"/>
    </row>
    <row r="12" spans="1:16" ht="19.5" customHeight="1">
      <c r="A12" s="61" t="s">
        <v>18</v>
      </c>
      <c r="B12" s="24">
        <v>42</v>
      </c>
      <c r="C12" s="23" t="s">
        <v>42</v>
      </c>
      <c r="D12" s="23" t="s">
        <v>67</v>
      </c>
      <c r="E12" s="23" t="s">
        <v>50</v>
      </c>
      <c r="F12" s="24">
        <v>8</v>
      </c>
      <c r="G12" s="41" t="s">
        <v>56</v>
      </c>
      <c r="H12" s="25" t="e">
        <f>'Expenditures &amp; Funding Sources'!#REF!</f>
        <v>#REF!</v>
      </c>
      <c r="I12" s="26">
        <v>100</v>
      </c>
      <c r="J12" s="27">
        <v>100</v>
      </c>
      <c r="K12" s="27">
        <v>100</v>
      </c>
      <c r="L12" s="27">
        <v>100</v>
      </c>
      <c r="M12" s="27">
        <v>100</v>
      </c>
      <c r="N12" s="66">
        <v>100</v>
      </c>
      <c r="O12" s="77">
        <f t="shared" si="0"/>
        <v>600</v>
      </c>
      <c r="P12" s="103"/>
    </row>
    <row r="13" spans="1:16" ht="19.5" customHeight="1">
      <c r="A13" s="61" t="s">
        <v>19</v>
      </c>
      <c r="B13" s="24">
        <v>8</v>
      </c>
      <c r="C13" s="23" t="s">
        <v>90</v>
      </c>
      <c r="D13" s="23" t="s">
        <v>67</v>
      </c>
      <c r="E13" s="23" t="s">
        <v>19</v>
      </c>
      <c r="F13" s="24">
        <v>7</v>
      </c>
      <c r="G13" s="41" t="s">
        <v>56</v>
      </c>
      <c r="H13" s="25">
        <f>'Expenditures &amp; Funding Sources'!H5</f>
        <v>1625</v>
      </c>
      <c r="I13" s="26">
        <v>400</v>
      </c>
      <c r="J13" s="27">
        <v>400</v>
      </c>
      <c r="K13" s="27">
        <v>400</v>
      </c>
      <c r="L13" s="27">
        <v>400</v>
      </c>
      <c r="M13" s="27">
        <v>400</v>
      </c>
      <c r="N13" s="25">
        <v>400</v>
      </c>
      <c r="O13" s="77">
        <f t="shared" si="0"/>
        <v>2400</v>
      </c>
      <c r="P13" s="103"/>
    </row>
    <row r="14" spans="1:15" ht="19.5" customHeight="1">
      <c r="A14" s="63" t="s">
        <v>95</v>
      </c>
      <c r="B14" s="32">
        <v>9</v>
      </c>
      <c r="C14" s="31" t="s">
        <v>90</v>
      </c>
      <c r="D14" s="31" t="s">
        <v>67</v>
      </c>
      <c r="E14" s="31" t="s">
        <v>51</v>
      </c>
      <c r="F14" s="32">
        <v>7</v>
      </c>
      <c r="G14" s="42" t="s">
        <v>56</v>
      </c>
      <c r="H14" s="35">
        <f>'Expenditures &amp; Funding Sources'!H6</f>
        <v>375</v>
      </c>
      <c r="I14" s="43"/>
      <c r="J14" s="37"/>
      <c r="K14" s="37"/>
      <c r="L14" s="37">
        <v>150</v>
      </c>
      <c r="M14" s="37">
        <v>150</v>
      </c>
      <c r="N14" s="35">
        <v>150</v>
      </c>
      <c r="O14" s="77">
        <f t="shared" si="0"/>
        <v>450</v>
      </c>
    </row>
    <row r="15" spans="1:15" ht="12" customHeight="1">
      <c r="A15" s="59"/>
      <c r="B15" s="11"/>
      <c r="C15" s="10"/>
      <c r="D15" s="10"/>
      <c r="E15" s="10"/>
      <c r="F15" s="11"/>
      <c r="G15" s="11"/>
      <c r="H15" s="12"/>
      <c r="I15" s="13"/>
      <c r="J15" s="13"/>
      <c r="K15" s="13"/>
      <c r="L15" s="13"/>
      <c r="M15" s="13"/>
      <c r="N15" s="12"/>
      <c r="O15" s="78"/>
    </row>
    <row r="16" spans="1:15" ht="19.5" customHeight="1">
      <c r="A16" s="60" t="s">
        <v>91</v>
      </c>
      <c r="B16" s="19">
        <v>10</v>
      </c>
      <c r="C16" s="18" t="s">
        <v>96</v>
      </c>
      <c r="D16" s="18" t="s">
        <v>103</v>
      </c>
      <c r="E16" s="18" t="s">
        <v>51</v>
      </c>
      <c r="F16" s="19">
        <v>7</v>
      </c>
      <c r="G16" s="44" t="s">
        <v>56</v>
      </c>
      <c r="H16" s="20" t="e">
        <f>'Expenditures &amp; Funding Sources'!#REF!</f>
        <v>#REF!</v>
      </c>
      <c r="I16" s="21">
        <v>375</v>
      </c>
      <c r="J16" s="22"/>
      <c r="K16" s="22"/>
      <c r="L16" s="22"/>
      <c r="M16" s="22"/>
      <c r="N16" s="20">
        <v>207</v>
      </c>
      <c r="O16" s="77">
        <f t="shared" si="0"/>
        <v>582</v>
      </c>
    </row>
    <row r="17" spans="1:15" ht="19.5" customHeight="1">
      <c r="A17" s="61" t="s">
        <v>92</v>
      </c>
      <c r="B17" s="24">
        <v>11</v>
      </c>
      <c r="C17" s="23" t="s">
        <v>97</v>
      </c>
      <c r="D17" s="23" t="s">
        <v>100</v>
      </c>
      <c r="E17" s="23" t="s">
        <v>51</v>
      </c>
      <c r="F17" s="24">
        <v>9</v>
      </c>
      <c r="G17" s="41" t="s">
        <v>56</v>
      </c>
      <c r="H17" s="25" t="e">
        <f>'Expenditures &amp; Funding Sources'!#REF!</f>
        <v>#REF!</v>
      </c>
      <c r="I17" s="26">
        <v>419</v>
      </c>
      <c r="J17" s="27"/>
      <c r="K17" s="27"/>
      <c r="L17" s="27"/>
      <c r="M17" s="27"/>
      <c r="N17" s="25"/>
      <c r="O17" s="77">
        <f t="shared" si="0"/>
        <v>419</v>
      </c>
    </row>
    <row r="18" spans="1:15" ht="19.5" customHeight="1">
      <c r="A18" s="61" t="s">
        <v>93</v>
      </c>
      <c r="B18" s="24">
        <v>12</v>
      </c>
      <c r="C18" s="23" t="s">
        <v>98</v>
      </c>
      <c r="D18" s="23" t="s">
        <v>101</v>
      </c>
      <c r="E18" s="23" t="s">
        <v>51</v>
      </c>
      <c r="F18" s="24">
        <v>9</v>
      </c>
      <c r="G18" s="41" t="s">
        <v>56</v>
      </c>
      <c r="H18" s="25" t="e">
        <f>'Expenditures &amp; Funding Sources'!#REF!</f>
        <v>#REF!</v>
      </c>
      <c r="I18" s="26">
        <v>15</v>
      </c>
      <c r="J18" s="27">
        <v>295</v>
      </c>
      <c r="K18" s="99">
        <f>295-295</f>
        <v>0</v>
      </c>
      <c r="L18" s="99">
        <v>295</v>
      </c>
      <c r="M18" s="27"/>
      <c r="N18" s="25"/>
      <c r="O18" s="77">
        <f t="shared" si="0"/>
        <v>605</v>
      </c>
    </row>
    <row r="19" spans="1:15" ht="19.5" customHeight="1">
      <c r="A19" s="61" t="s">
        <v>94</v>
      </c>
      <c r="B19" s="24">
        <v>13</v>
      </c>
      <c r="C19" s="23" t="s">
        <v>99</v>
      </c>
      <c r="D19" s="23" t="s">
        <v>102</v>
      </c>
      <c r="E19" s="28" t="s">
        <v>51</v>
      </c>
      <c r="F19" s="29">
        <v>7</v>
      </c>
      <c r="G19" s="45" t="s">
        <v>56</v>
      </c>
      <c r="H19" s="25" t="e">
        <f>'Expenditures &amp; Funding Sources'!#REF!</f>
        <v>#REF!</v>
      </c>
      <c r="I19" s="98">
        <v>0</v>
      </c>
      <c r="J19" s="99">
        <v>380</v>
      </c>
      <c r="K19" s="99">
        <f>380-380</f>
        <v>0</v>
      </c>
      <c r="L19" s="99"/>
      <c r="M19" s="27"/>
      <c r="N19" s="25"/>
      <c r="O19" s="77">
        <f t="shared" si="0"/>
        <v>380</v>
      </c>
    </row>
    <row r="20" spans="1:15" ht="19.5" customHeight="1">
      <c r="A20" s="63" t="s">
        <v>20</v>
      </c>
      <c r="B20" s="32">
        <v>14</v>
      </c>
      <c r="C20" s="31" t="s">
        <v>42</v>
      </c>
      <c r="D20" s="31" t="s">
        <v>67</v>
      </c>
      <c r="E20" s="31" t="s">
        <v>147</v>
      </c>
      <c r="F20" s="32">
        <v>8</v>
      </c>
      <c r="G20" s="42" t="s">
        <v>56</v>
      </c>
      <c r="H20" s="35" t="e">
        <f>'Expenditures &amp; Funding Sources'!#REF!</f>
        <v>#REF!</v>
      </c>
      <c r="I20" s="43"/>
      <c r="J20" s="37"/>
      <c r="K20" s="37"/>
      <c r="L20" s="37"/>
      <c r="M20" s="37">
        <v>250</v>
      </c>
      <c r="N20" s="35">
        <v>250</v>
      </c>
      <c r="O20" s="77">
        <f t="shared" si="0"/>
        <v>500</v>
      </c>
    </row>
    <row r="21" spans="1:15" ht="12" customHeight="1">
      <c r="A21" s="59"/>
      <c r="B21" s="11"/>
      <c r="C21" s="10"/>
      <c r="D21" s="10"/>
      <c r="E21" s="10"/>
      <c r="F21" s="11"/>
      <c r="G21" s="11"/>
      <c r="H21" s="12"/>
      <c r="I21" s="13"/>
      <c r="J21" s="13"/>
      <c r="K21" s="13"/>
      <c r="L21" s="13"/>
      <c r="M21" s="13"/>
      <c r="N21" s="12"/>
      <c r="O21" s="78"/>
    </row>
    <row r="22" spans="1:15" ht="19.5" customHeight="1">
      <c r="A22" s="60" t="s">
        <v>21</v>
      </c>
      <c r="B22" s="19">
        <v>15</v>
      </c>
      <c r="C22" s="18" t="s">
        <v>42</v>
      </c>
      <c r="D22" s="18" t="s">
        <v>67</v>
      </c>
      <c r="E22" s="18" t="s">
        <v>50</v>
      </c>
      <c r="F22" s="19">
        <v>8</v>
      </c>
      <c r="G22" s="44" t="s">
        <v>56</v>
      </c>
      <c r="H22" s="20" t="e">
        <f>'Expenditures &amp; Funding Sources'!#REF!</f>
        <v>#REF!</v>
      </c>
      <c r="I22" s="46"/>
      <c r="J22" s="40"/>
      <c r="K22" s="40"/>
      <c r="L22" s="40"/>
      <c r="M22" s="40">
        <v>250</v>
      </c>
      <c r="N22" s="104">
        <v>250</v>
      </c>
      <c r="O22" s="77">
        <f t="shared" si="0"/>
        <v>500</v>
      </c>
    </row>
    <row r="23" spans="1:15" ht="19.5" customHeight="1">
      <c r="A23" s="61" t="s">
        <v>81</v>
      </c>
      <c r="B23" s="24">
        <v>16</v>
      </c>
      <c r="C23" s="23" t="s">
        <v>42</v>
      </c>
      <c r="D23" s="23" t="s">
        <v>67</v>
      </c>
      <c r="E23" s="23" t="s">
        <v>49</v>
      </c>
      <c r="F23" s="24">
        <v>7</v>
      </c>
      <c r="G23" s="47">
        <v>2010</v>
      </c>
      <c r="H23" s="25" t="e">
        <f>'Expenditures &amp; Funding Sources'!#REF!</f>
        <v>#REF!</v>
      </c>
      <c r="I23" s="26"/>
      <c r="J23" s="27"/>
      <c r="K23" s="27"/>
      <c r="L23" s="27"/>
      <c r="M23" s="27"/>
      <c r="N23" s="25"/>
      <c r="O23" s="77">
        <f t="shared" si="0"/>
        <v>0</v>
      </c>
    </row>
    <row r="24" spans="1:15" ht="19.5" customHeight="1">
      <c r="A24" s="61" t="s">
        <v>22</v>
      </c>
      <c r="B24" s="24">
        <v>17</v>
      </c>
      <c r="C24" s="23" t="s">
        <v>42</v>
      </c>
      <c r="D24" s="23" t="s">
        <v>67</v>
      </c>
      <c r="E24" s="23" t="s">
        <v>48</v>
      </c>
      <c r="F24" s="24">
        <v>8</v>
      </c>
      <c r="G24" s="41" t="s">
        <v>56</v>
      </c>
      <c r="H24" s="25">
        <f>'Expenditures &amp; Funding Sources'!H7</f>
        <v>0</v>
      </c>
      <c r="I24" s="26">
        <v>150</v>
      </c>
      <c r="J24" s="27">
        <v>150</v>
      </c>
      <c r="K24" s="99">
        <f>150+150</f>
        <v>300</v>
      </c>
      <c r="L24" s="27">
        <v>150</v>
      </c>
      <c r="M24" s="27">
        <v>150</v>
      </c>
      <c r="N24" s="25">
        <v>150</v>
      </c>
      <c r="O24" s="77">
        <f t="shared" si="0"/>
        <v>1050</v>
      </c>
    </row>
    <row r="25" spans="1:15" ht="19.5" customHeight="1">
      <c r="A25" s="61" t="s">
        <v>23</v>
      </c>
      <c r="B25" s="24">
        <v>18</v>
      </c>
      <c r="C25" s="23" t="s">
        <v>42</v>
      </c>
      <c r="D25" s="23" t="s">
        <v>67</v>
      </c>
      <c r="E25" s="23" t="s">
        <v>48</v>
      </c>
      <c r="F25" s="24">
        <v>8</v>
      </c>
      <c r="G25" s="41" t="s">
        <v>56</v>
      </c>
      <c r="H25" s="93" t="e">
        <f>'Expenditures &amp; Funding Sources'!#REF!</f>
        <v>#REF!</v>
      </c>
      <c r="I25" s="48"/>
      <c r="J25" s="30"/>
      <c r="K25" s="99">
        <v>10</v>
      </c>
      <c r="L25" s="96">
        <v>50</v>
      </c>
      <c r="M25" s="96">
        <v>50</v>
      </c>
      <c r="N25" s="105">
        <v>50</v>
      </c>
      <c r="O25" s="77">
        <f t="shared" si="0"/>
        <v>160</v>
      </c>
    </row>
    <row r="26" spans="1:15" ht="19.5" customHeight="1">
      <c r="A26" s="63" t="s">
        <v>24</v>
      </c>
      <c r="B26" s="32">
        <v>19</v>
      </c>
      <c r="C26" s="31" t="s">
        <v>42</v>
      </c>
      <c r="D26" s="31" t="s">
        <v>67</v>
      </c>
      <c r="E26" s="31" t="s">
        <v>48</v>
      </c>
      <c r="F26" s="32">
        <v>8</v>
      </c>
      <c r="G26" s="42" t="s">
        <v>56</v>
      </c>
      <c r="H26" s="94" t="e">
        <f>'Expenditures &amp; Funding Sources'!#REF!</f>
        <v>#REF!</v>
      </c>
      <c r="I26" s="49"/>
      <c r="J26" s="36"/>
      <c r="K26" s="99">
        <v>90</v>
      </c>
      <c r="L26" s="97">
        <v>50</v>
      </c>
      <c r="M26" s="97">
        <v>50</v>
      </c>
      <c r="N26" s="106">
        <v>50</v>
      </c>
      <c r="O26" s="77">
        <f t="shared" si="0"/>
        <v>240</v>
      </c>
    </row>
    <row r="27" spans="1:15" ht="12" customHeight="1">
      <c r="A27" s="59"/>
      <c r="B27" s="11"/>
      <c r="C27" s="10"/>
      <c r="D27" s="10"/>
      <c r="E27" s="10"/>
      <c r="F27" s="11"/>
      <c r="G27" s="11"/>
      <c r="H27" s="95"/>
      <c r="I27" s="13"/>
      <c r="J27" s="13"/>
      <c r="K27" s="13"/>
      <c r="L27" s="13"/>
      <c r="M27" s="13"/>
      <c r="N27" s="12"/>
      <c r="O27" s="78"/>
    </row>
    <row r="28" spans="1:15" ht="19.5" customHeight="1">
      <c r="A28" s="60" t="s">
        <v>86</v>
      </c>
      <c r="B28" s="19">
        <v>20</v>
      </c>
      <c r="C28" s="18" t="s">
        <v>42</v>
      </c>
      <c r="D28" s="18" t="s">
        <v>67</v>
      </c>
      <c r="E28" s="18" t="s">
        <v>48</v>
      </c>
      <c r="F28" s="19">
        <v>8</v>
      </c>
      <c r="G28" s="19">
        <v>2012</v>
      </c>
      <c r="H28" s="90" t="e">
        <f>'Expenditures &amp; Funding Sources'!#REF!</f>
        <v>#REF!</v>
      </c>
      <c r="I28" s="46"/>
      <c r="J28" s="40"/>
      <c r="K28" s="99">
        <v>90</v>
      </c>
      <c r="L28" s="40"/>
      <c r="M28" s="40"/>
      <c r="N28" s="104">
        <v>500</v>
      </c>
      <c r="O28" s="77">
        <f t="shared" si="0"/>
        <v>590</v>
      </c>
    </row>
    <row r="29" spans="1:15" ht="19.5" customHeight="1">
      <c r="A29" s="61" t="s">
        <v>25</v>
      </c>
      <c r="B29" s="24">
        <v>21</v>
      </c>
      <c r="C29" s="23" t="s">
        <v>42</v>
      </c>
      <c r="D29" s="23" t="s">
        <v>67</v>
      </c>
      <c r="E29" s="23" t="s">
        <v>48</v>
      </c>
      <c r="F29" s="24">
        <v>8</v>
      </c>
      <c r="G29" s="41" t="s">
        <v>56</v>
      </c>
      <c r="H29" s="25">
        <f>'Expenditures &amp; Funding Sources'!H8</f>
        <v>250</v>
      </c>
      <c r="I29" s="26">
        <v>250</v>
      </c>
      <c r="J29" s="27">
        <v>250</v>
      </c>
      <c r="K29" s="99">
        <f>250</f>
        <v>250</v>
      </c>
      <c r="L29" s="27">
        <v>250</v>
      </c>
      <c r="M29" s="27">
        <v>250</v>
      </c>
      <c r="N29" s="25">
        <v>250</v>
      </c>
      <c r="O29" s="77">
        <f t="shared" si="0"/>
        <v>1500</v>
      </c>
    </row>
    <row r="30" spans="1:15" ht="19.5" customHeight="1">
      <c r="A30" s="61" t="s">
        <v>77</v>
      </c>
      <c r="B30" s="24">
        <v>22</v>
      </c>
      <c r="C30" s="23" t="s">
        <v>78</v>
      </c>
      <c r="D30" s="23" t="s">
        <v>79</v>
      </c>
      <c r="E30" s="23" t="s">
        <v>50</v>
      </c>
      <c r="F30" s="24">
        <v>9</v>
      </c>
      <c r="G30" s="24">
        <v>2009</v>
      </c>
      <c r="H30" s="25" t="e">
        <f>'Expenditures &amp; Funding Sources'!#REF!</f>
        <v>#REF!</v>
      </c>
      <c r="I30" s="26">
        <v>100</v>
      </c>
      <c r="J30" s="27">
        <v>280</v>
      </c>
      <c r="K30" s="99">
        <f>280-230</f>
        <v>50</v>
      </c>
      <c r="L30" s="99">
        <v>100</v>
      </c>
      <c r="M30" s="27"/>
      <c r="N30" s="25"/>
      <c r="O30" s="77">
        <f t="shared" si="0"/>
        <v>530</v>
      </c>
    </row>
    <row r="31" spans="1:15" ht="19.5" customHeight="1">
      <c r="A31" s="61" t="s">
        <v>116</v>
      </c>
      <c r="B31" s="24">
        <v>23</v>
      </c>
      <c r="C31" s="23" t="s">
        <v>114</v>
      </c>
      <c r="D31" s="23" t="s">
        <v>115</v>
      </c>
      <c r="E31" s="23" t="s">
        <v>50</v>
      </c>
      <c r="F31" s="29">
        <v>8</v>
      </c>
      <c r="G31" s="29">
        <v>2008</v>
      </c>
      <c r="H31" s="25" t="e">
        <f>'Expenditures &amp; Funding Sources'!#REF!</f>
        <v>#REF!</v>
      </c>
      <c r="I31" s="26">
        <v>250</v>
      </c>
      <c r="J31" s="27"/>
      <c r="K31" s="27"/>
      <c r="L31" s="27"/>
      <c r="M31" s="27"/>
      <c r="N31" s="25"/>
      <c r="O31" s="77">
        <f t="shared" si="0"/>
        <v>250</v>
      </c>
    </row>
    <row r="32" spans="1:15" ht="19.5" customHeight="1">
      <c r="A32" s="63" t="s">
        <v>111</v>
      </c>
      <c r="B32" s="32">
        <v>24</v>
      </c>
      <c r="C32" s="31" t="s">
        <v>112</v>
      </c>
      <c r="D32" s="31" t="s">
        <v>113</v>
      </c>
      <c r="E32" s="31" t="s">
        <v>50</v>
      </c>
      <c r="F32" s="32">
        <v>9</v>
      </c>
      <c r="G32" s="32">
        <v>2008</v>
      </c>
      <c r="H32" s="35" t="e">
        <f>'Expenditures &amp; Funding Sources'!#REF!</f>
        <v>#REF!</v>
      </c>
      <c r="I32" s="113">
        <f>200-200</f>
        <v>0</v>
      </c>
      <c r="J32" s="37"/>
      <c r="K32" s="114"/>
      <c r="L32" s="99">
        <v>200</v>
      </c>
      <c r="M32" s="37"/>
      <c r="N32" s="35"/>
      <c r="O32" s="77">
        <f t="shared" si="0"/>
        <v>200</v>
      </c>
    </row>
    <row r="33" spans="1:15" ht="12" customHeight="1">
      <c r="A33" s="59"/>
      <c r="B33" s="11"/>
      <c r="C33" s="10"/>
      <c r="D33" s="10"/>
      <c r="E33" s="10"/>
      <c r="F33" s="11"/>
      <c r="G33" s="11"/>
      <c r="H33" s="12"/>
      <c r="I33" s="13"/>
      <c r="J33" s="13"/>
      <c r="K33" s="13"/>
      <c r="L33" s="13"/>
      <c r="M33" s="13"/>
      <c r="N33" s="12"/>
      <c r="O33" s="78"/>
    </row>
    <row r="34" spans="1:15" ht="19.5" customHeight="1">
      <c r="A34" s="60" t="s">
        <v>26</v>
      </c>
      <c r="B34" s="19">
        <v>25</v>
      </c>
      <c r="C34" s="18" t="s">
        <v>43</v>
      </c>
      <c r="D34" s="18" t="s">
        <v>68</v>
      </c>
      <c r="E34" s="18" t="s">
        <v>47</v>
      </c>
      <c r="F34" s="19">
        <v>10</v>
      </c>
      <c r="G34" s="19">
        <v>2009</v>
      </c>
      <c r="H34" s="90" t="e">
        <f>'Expenditures &amp; Funding Sources'!#REF!</f>
        <v>#REF!</v>
      </c>
      <c r="I34" s="91">
        <v>0</v>
      </c>
      <c r="J34" s="92">
        <v>0</v>
      </c>
      <c r="K34" s="92">
        <v>0</v>
      </c>
      <c r="L34" s="22"/>
      <c r="M34" s="22"/>
      <c r="N34" s="20"/>
      <c r="O34" s="77">
        <f t="shared" si="0"/>
        <v>0</v>
      </c>
    </row>
    <row r="35" spans="1:15" ht="19.5" customHeight="1">
      <c r="A35" s="89" t="s">
        <v>27</v>
      </c>
      <c r="B35" s="24">
        <v>26</v>
      </c>
      <c r="C35" s="23" t="s">
        <v>43</v>
      </c>
      <c r="D35" s="23" t="s">
        <v>69</v>
      </c>
      <c r="E35" s="23" t="s">
        <v>53</v>
      </c>
      <c r="F35" s="24">
        <v>7</v>
      </c>
      <c r="G35" s="24">
        <v>2011</v>
      </c>
      <c r="H35" s="93" t="e">
        <f>'Expenditures &amp; Funding Sources'!#REF!</f>
        <v>#REF!</v>
      </c>
      <c r="I35" s="26">
        <v>20</v>
      </c>
      <c r="J35" s="99">
        <v>0</v>
      </c>
      <c r="K35" s="99">
        <v>0</v>
      </c>
      <c r="L35" s="99">
        <v>0</v>
      </c>
      <c r="M35" s="99">
        <v>0</v>
      </c>
      <c r="N35" s="25"/>
      <c r="O35" s="77">
        <f t="shared" si="0"/>
        <v>20</v>
      </c>
    </row>
    <row r="36" spans="1:15" ht="19.5" customHeight="1">
      <c r="A36" s="61" t="s">
        <v>28</v>
      </c>
      <c r="B36" s="24">
        <v>27</v>
      </c>
      <c r="C36" s="23" t="s">
        <v>44</v>
      </c>
      <c r="D36" s="23" t="s">
        <v>70</v>
      </c>
      <c r="E36" s="23" t="s">
        <v>54</v>
      </c>
      <c r="F36" s="24">
        <v>10</v>
      </c>
      <c r="G36" s="24">
        <v>2008</v>
      </c>
      <c r="H36" s="25" t="e">
        <f>'Expenditures &amp; Funding Sources'!#REF!</f>
        <v>#REF!</v>
      </c>
      <c r="I36" s="26">
        <v>225</v>
      </c>
      <c r="J36" s="27"/>
      <c r="K36" s="27"/>
      <c r="L36" s="27"/>
      <c r="M36" s="27"/>
      <c r="N36" s="25"/>
      <c r="O36" s="77">
        <f t="shared" si="0"/>
        <v>225</v>
      </c>
    </row>
    <row r="37" spans="1:15" s="116" customFormat="1" ht="19.5" customHeight="1">
      <c r="A37" s="115" t="s">
        <v>28</v>
      </c>
      <c r="B37" s="117"/>
      <c r="C37" s="118" t="s">
        <v>44</v>
      </c>
      <c r="D37" s="118" t="s">
        <v>154</v>
      </c>
      <c r="E37" s="118"/>
      <c r="F37" s="117"/>
      <c r="G37" s="117"/>
      <c r="H37" s="119" t="e">
        <f>'Expenditures &amp; Funding Sources'!#REF!</f>
        <v>#REF!</v>
      </c>
      <c r="I37" s="120"/>
      <c r="J37" s="121"/>
      <c r="K37" s="121"/>
      <c r="L37" s="121"/>
      <c r="M37" s="121"/>
      <c r="N37" s="119"/>
      <c r="O37" s="122"/>
    </row>
    <row r="38" spans="1:15" ht="19.5" customHeight="1">
      <c r="A38" s="61" t="s">
        <v>87</v>
      </c>
      <c r="B38" s="24">
        <v>28</v>
      </c>
      <c r="C38" s="23" t="s">
        <v>44</v>
      </c>
      <c r="D38" s="23" t="s">
        <v>87</v>
      </c>
      <c r="E38" s="23" t="s">
        <v>147</v>
      </c>
      <c r="F38" s="24">
        <v>8</v>
      </c>
      <c r="G38" s="24">
        <v>2008</v>
      </c>
      <c r="H38" s="25" t="e">
        <f>'Expenditures &amp; Funding Sources'!#REF!</f>
        <v>#REF!</v>
      </c>
      <c r="I38" s="26">
        <v>15</v>
      </c>
      <c r="J38" s="27"/>
      <c r="K38" s="27"/>
      <c r="L38" s="27"/>
      <c r="M38" s="27"/>
      <c r="N38" s="25"/>
      <c r="O38" s="77">
        <f t="shared" si="0"/>
        <v>15</v>
      </c>
    </row>
    <row r="39" spans="1:15" ht="19.5" customHeight="1">
      <c r="A39" s="85" t="s">
        <v>148</v>
      </c>
      <c r="B39" s="86">
        <v>46</v>
      </c>
      <c r="C39" s="85" t="s">
        <v>45</v>
      </c>
      <c r="D39" s="85" t="s">
        <v>149</v>
      </c>
      <c r="E39" s="87" t="s">
        <v>50</v>
      </c>
      <c r="F39" s="88">
        <v>9</v>
      </c>
      <c r="G39" s="88">
        <v>2010</v>
      </c>
      <c r="H39" s="25" t="e">
        <f>'Expenditures &amp; Funding Sources'!#REF!</f>
        <v>#REF!</v>
      </c>
      <c r="I39" s="83"/>
      <c r="J39" s="84"/>
      <c r="K39" s="84"/>
      <c r="L39" s="84"/>
      <c r="M39" s="84"/>
      <c r="N39" s="82"/>
      <c r="O39" s="77"/>
    </row>
    <row r="40" spans="1:15" ht="11.25" customHeight="1">
      <c r="A40" s="59"/>
      <c r="B40" s="11"/>
      <c r="C40" s="10"/>
      <c r="D40" s="10"/>
      <c r="E40" s="10"/>
      <c r="F40" s="11"/>
      <c r="G40" s="11"/>
      <c r="H40" s="12"/>
      <c r="I40" s="13"/>
      <c r="J40" s="13"/>
      <c r="K40" s="13"/>
      <c r="L40" s="13"/>
      <c r="M40" s="13"/>
      <c r="N40" s="12"/>
      <c r="O40" s="78"/>
    </row>
    <row r="41" spans="1:15" ht="19.5" customHeight="1">
      <c r="A41" s="63" t="s">
        <v>29</v>
      </c>
      <c r="B41" s="32">
        <v>29</v>
      </c>
      <c r="C41" s="31" t="s">
        <v>45</v>
      </c>
      <c r="D41" s="31" t="s">
        <v>71</v>
      </c>
      <c r="E41" s="31" t="s">
        <v>50</v>
      </c>
      <c r="F41" s="32">
        <v>7</v>
      </c>
      <c r="G41" s="32">
        <v>2009</v>
      </c>
      <c r="H41" s="35" t="e">
        <f>'Expenditures &amp; Funding Sources'!#REF!</f>
        <v>#REF!</v>
      </c>
      <c r="I41" s="43">
        <v>120</v>
      </c>
      <c r="J41" s="37">
        <v>45</v>
      </c>
      <c r="K41" s="37">
        <v>45</v>
      </c>
      <c r="L41" s="37"/>
      <c r="M41" s="37"/>
      <c r="N41" s="35"/>
      <c r="O41" s="77">
        <f t="shared" si="0"/>
        <v>210</v>
      </c>
    </row>
    <row r="42" spans="1:15" ht="19.5" customHeight="1">
      <c r="A42" s="60" t="s">
        <v>30</v>
      </c>
      <c r="B42" s="19">
        <v>30</v>
      </c>
      <c r="C42" s="18" t="s">
        <v>45</v>
      </c>
      <c r="D42" s="18" t="s">
        <v>72</v>
      </c>
      <c r="E42" s="18" t="s">
        <v>54</v>
      </c>
      <c r="F42" s="19">
        <v>10</v>
      </c>
      <c r="G42" s="19">
        <v>2008</v>
      </c>
      <c r="H42" s="20" t="e">
        <f>'Expenditures &amp; Funding Sources'!#REF!</f>
        <v>#REF!</v>
      </c>
      <c r="I42" s="21"/>
      <c r="J42" s="22"/>
      <c r="K42" s="22"/>
      <c r="L42" s="22"/>
      <c r="M42" s="22"/>
      <c r="N42" s="20"/>
      <c r="O42" s="77">
        <f t="shared" si="0"/>
        <v>0</v>
      </c>
    </row>
    <row r="43" spans="1:15" ht="19.5" customHeight="1">
      <c r="A43" s="61" t="s">
        <v>31</v>
      </c>
      <c r="B43" s="24">
        <v>31</v>
      </c>
      <c r="C43" s="23" t="s">
        <v>45</v>
      </c>
      <c r="D43" s="23" t="s">
        <v>73</v>
      </c>
      <c r="E43" s="23" t="s">
        <v>50</v>
      </c>
      <c r="F43" s="24">
        <v>11</v>
      </c>
      <c r="G43" s="24">
        <v>2008</v>
      </c>
      <c r="H43" s="25" t="e">
        <f>'Expenditures &amp; Funding Sources'!#REF!</f>
        <v>#REF!</v>
      </c>
      <c r="I43" s="26">
        <v>200</v>
      </c>
      <c r="J43" s="27"/>
      <c r="K43" s="27"/>
      <c r="L43" s="27"/>
      <c r="M43" s="27"/>
      <c r="N43" s="25"/>
      <c r="O43" s="77">
        <f t="shared" si="0"/>
        <v>200</v>
      </c>
    </row>
    <row r="44" spans="1:15" ht="19.5" customHeight="1">
      <c r="A44" s="61" t="s">
        <v>32</v>
      </c>
      <c r="B44" s="24">
        <v>32</v>
      </c>
      <c r="C44" s="23" t="s">
        <v>34</v>
      </c>
      <c r="D44" s="23" t="s">
        <v>67</v>
      </c>
      <c r="E44" s="23" t="s">
        <v>49</v>
      </c>
      <c r="F44" s="24">
        <v>8</v>
      </c>
      <c r="G44" s="24">
        <v>2010</v>
      </c>
      <c r="H44" s="25" t="e">
        <f>'Expenditures &amp; Funding Sources'!#REF!</f>
        <v>#REF!</v>
      </c>
      <c r="I44" s="26"/>
      <c r="J44" s="27"/>
      <c r="K44" s="27"/>
      <c r="L44" s="27">
        <v>40</v>
      </c>
      <c r="M44" s="27"/>
      <c r="N44" s="25"/>
      <c r="O44" s="77">
        <f t="shared" si="0"/>
        <v>40</v>
      </c>
    </row>
    <row r="45" spans="1:15" ht="19.5" customHeight="1">
      <c r="A45" s="61" t="s">
        <v>142</v>
      </c>
      <c r="B45" s="24">
        <v>45</v>
      </c>
      <c r="C45" s="23" t="s">
        <v>34</v>
      </c>
      <c r="D45" s="23" t="s">
        <v>138</v>
      </c>
      <c r="E45" s="28" t="s">
        <v>139</v>
      </c>
      <c r="F45" s="29">
        <v>10</v>
      </c>
      <c r="G45" s="29">
        <v>2008</v>
      </c>
      <c r="H45" s="25" t="e">
        <f>'Expenditures &amp; Funding Sources'!#REF!</f>
        <v>#REF!</v>
      </c>
      <c r="I45" s="26"/>
      <c r="J45" s="27"/>
      <c r="K45" s="27"/>
      <c r="L45" s="27"/>
      <c r="M45" s="27"/>
      <c r="N45" s="25"/>
      <c r="O45" s="77">
        <f t="shared" si="0"/>
        <v>0</v>
      </c>
    </row>
    <row r="46" spans="1:15" ht="11.25" customHeight="1">
      <c r="A46" s="59"/>
      <c r="B46" s="11"/>
      <c r="C46" s="10"/>
      <c r="D46" s="10"/>
      <c r="E46" s="10"/>
      <c r="F46" s="11"/>
      <c r="G46" s="11"/>
      <c r="H46" s="12"/>
      <c r="I46" s="13"/>
      <c r="J46" s="13"/>
      <c r="K46" s="13"/>
      <c r="L46" s="13"/>
      <c r="M46" s="13"/>
      <c r="N46" s="12"/>
      <c r="O46" s="78"/>
    </row>
    <row r="47" spans="1:15" ht="19.5" customHeight="1">
      <c r="A47" s="63" t="s">
        <v>33</v>
      </c>
      <c r="B47" s="32">
        <v>33</v>
      </c>
      <c r="C47" s="31" t="s">
        <v>34</v>
      </c>
      <c r="D47" s="31" t="s">
        <v>74</v>
      </c>
      <c r="E47" s="31" t="s">
        <v>50</v>
      </c>
      <c r="F47" s="32">
        <v>8</v>
      </c>
      <c r="G47" s="32">
        <v>2009</v>
      </c>
      <c r="H47" s="35" t="e">
        <f>'Expenditures &amp; Funding Sources'!#REF!</f>
        <v>#REF!</v>
      </c>
      <c r="I47" s="43">
        <v>40</v>
      </c>
      <c r="J47" s="37">
        <v>120</v>
      </c>
      <c r="K47" s="99">
        <f>120-70</f>
        <v>50</v>
      </c>
      <c r="L47" s="37"/>
      <c r="M47" s="37"/>
      <c r="N47" s="35"/>
      <c r="O47" s="77">
        <f t="shared" si="0"/>
        <v>210</v>
      </c>
    </row>
    <row r="48" spans="1:15" ht="19.5" customHeight="1">
      <c r="A48" s="60" t="s">
        <v>57</v>
      </c>
      <c r="B48" s="19">
        <v>34</v>
      </c>
      <c r="C48" s="18" t="s">
        <v>34</v>
      </c>
      <c r="D48" s="18" t="s">
        <v>75</v>
      </c>
      <c r="E48" s="18" t="s">
        <v>147</v>
      </c>
      <c r="F48" s="19">
        <v>8</v>
      </c>
      <c r="G48" s="19">
        <v>2008</v>
      </c>
      <c r="H48" s="20" t="e">
        <f>'Expenditures &amp; Funding Sources'!#REF!</f>
        <v>#REF!</v>
      </c>
      <c r="I48" s="21">
        <v>250</v>
      </c>
      <c r="J48" s="22"/>
      <c r="K48" s="22"/>
      <c r="L48" s="22"/>
      <c r="M48" s="22"/>
      <c r="N48" s="20"/>
      <c r="O48" s="77">
        <f t="shared" si="0"/>
        <v>250</v>
      </c>
    </row>
    <row r="49" spans="1:15" ht="19.5" customHeight="1">
      <c r="A49" s="61" t="s">
        <v>137</v>
      </c>
      <c r="B49" s="24">
        <v>44</v>
      </c>
      <c r="C49" s="23" t="s">
        <v>136</v>
      </c>
      <c r="D49" s="23" t="s">
        <v>137</v>
      </c>
      <c r="E49" s="23" t="s">
        <v>48</v>
      </c>
      <c r="F49" s="24">
        <v>10</v>
      </c>
      <c r="G49" s="24">
        <v>2008</v>
      </c>
      <c r="H49" s="25" t="e">
        <f>'Expenditures &amp; Funding Sources'!#REF!</f>
        <v>#REF!</v>
      </c>
      <c r="I49" s="26"/>
      <c r="J49" s="27"/>
      <c r="K49" s="27"/>
      <c r="L49" s="27"/>
      <c r="M49" s="27"/>
      <c r="N49" s="25"/>
      <c r="O49" s="77">
        <f t="shared" si="0"/>
        <v>0</v>
      </c>
    </row>
    <row r="50" spans="1:15" ht="19.5" customHeight="1">
      <c r="A50" s="61" t="s">
        <v>35</v>
      </c>
      <c r="B50" s="24">
        <v>35</v>
      </c>
      <c r="C50" s="23" t="s">
        <v>46</v>
      </c>
      <c r="D50" s="23" t="s">
        <v>61</v>
      </c>
      <c r="E50" s="23" t="s">
        <v>48</v>
      </c>
      <c r="F50" s="24">
        <v>8</v>
      </c>
      <c r="G50" s="24">
        <v>2010</v>
      </c>
      <c r="H50" s="25" t="e">
        <f>'Expenditures &amp; Funding Sources'!#REF!</f>
        <v>#REF!</v>
      </c>
      <c r="I50" s="26"/>
      <c r="J50" s="27">
        <v>30</v>
      </c>
      <c r="K50" s="27">
        <v>30</v>
      </c>
      <c r="L50" s="27">
        <v>135</v>
      </c>
      <c r="M50" s="27"/>
      <c r="N50" s="25"/>
      <c r="O50" s="77">
        <f t="shared" si="0"/>
        <v>195</v>
      </c>
    </row>
    <row r="51" spans="1:15" ht="19.5" customHeight="1">
      <c r="A51" s="61" t="s">
        <v>36</v>
      </c>
      <c r="B51" s="24">
        <v>36</v>
      </c>
      <c r="C51" s="23" t="s">
        <v>46</v>
      </c>
      <c r="D51" s="23" t="s">
        <v>62</v>
      </c>
      <c r="E51" s="23" t="s">
        <v>48</v>
      </c>
      <c r="F51" s="24">
        <v>7</v>
      </c>
      <c r="G51" s="24">
        <v>2011</v>
      </c>
      <c r="H51" s="25" t="e">
        <f>'Expenditures &amp; Funding Sources'!#REF!</f>
        <v>#REF!</v>
      </c>
      <c r="I51" s="26"/>
      <c r="J51" s="27"/>
      <c r="K51" s="27"/>
      <c r="L51" s="27">
        <v>20</v>
      </c>
      <c r="M51" s="27">
        <v>130</v>
      </c>
      <c r="N51" s="25"/>
      <c r="O51" s="77">
        <f t="shared" si="0"/>
        <v>150</v>
      </c>
    </row>
    <row r="52" spans="1:15" ht="11.25" customHeight="1">
      <c r="A52" s="59"/>
      <c r="B52" s="11"/>
      <c r="C52" s="10"/>
      <c r="D52" s="10"/>
      <c r="E52" s="10"/>
      <c r="F52" s="11"/>
      <c r="G52" s="11"/>
      <c r="H52" s="12"/>
      <c r="I52" s="13"/>
      <c r="J52" s="13"/>
      <c r="K52" s="13"/>
      <c r="L52" s="13"/>
      <c r="M52" s="13"/>
      <c r="N52" s="12"/>
      <c r="O52" s="78"/>
    </row>
    <row r="53" spans="1:15" ht="19.5" customHeight="1">
      <c r="A53" s="63" t="s">
        <v>37</v>
      </c>
      <c r="B53" s="32">
        <v>37</v>
      </c>
      <c r="C53" s="31" t="s">
        <v>46</v>
      </c>
      <c r="D53" s="31" t="s">
        <v>62</v>
      </c>
      <c r="E53" s="31" t="s">
        <v>48</v>
      </c>
      <c r="F53" s="32">
        <v>8</v>
      </c>
      <c r="G53" s="32">
        <v>2009</v>
      </c>
      <c r="H53" s="35" t="e">
        <f>'Expenditures &amp; Funding Sources'!#REF!</f>
        <v>#REF!</v>
      </c>
      <c r="I53" s="43">
        <v>40</v>
      </c>
      <c r="J53" s="37">
        <v>130</v>
      </c>
      <c r="K53" s="37">
        <v>130</v>
      </c>
      <c r="L53" s="37"/>
      <c r="M53" s="37"/>
      <c r="N53" s="35"/>
      <c r="O53" s="77">
        <f t="shared" si="0"/>
        <v>300</v>
      </c>
    </row>
    <row r="54" spans="1:15" ht="19.5" customHeight="1">
      <c r="A54" s="60" t="s">
        <v>38</v>
      </c>
      <c r="B54" s="19">
        <v>38</v>
      </c>
      <c r="C54" s="18" t="s">
        <v>46</v>
      </c>
      <c r="D54" s="18" t="s">
        <v>63</v>
      </c>
      <c r="E54" s="18" t="s">
        <v>47</v>
      </c>
      <c r="F54" s="19">
        <v>9</v>
      </c>
      <c r="G54" s="19">
        <v>2008</v>
      </c>
      <c r="H54" s="20" t="e">
        <f>'Expenditures &amp; Funding Sources'!#REF!</f>
        <v>#REF!</v>
      </c>
      <c r="I54" s="21">
        <v>30</v>
      </c>
      <c r="J54" s="22"/>
      <c r="K54" s="22"/>
      <c r="L54" s="22"/>
      <c r="M54" s="22"/>
      <c r="N54" s="20"/>
      <c r="O54" s="77">
        <f t="shared" si="0"/>
        <v>30</v>
      </c>
    </row>
    <row r="55" spans="1:15" ht="19.5" customHeight="1">
      <c r="A55" s="60" t="s">
        <v>39</v>
      </c>
      <c r="B55" s="24">
        <v>39</v>
      </c>
      <c r="C55" s="23" t="s">
        <v>46</v>
      </c>
      <c r="D55" s="23" t="s">
        <v>64</v>
      </c>
      <c r="E55" s="23" t="s">
        <v>47</v>
      </c>
      <c r="F55" s="24">
        <v>9</v>
      </c>
      <c r="G55" s="24">
        <v>2010</v>
      </c>
      <c r="H55" s="25" t="e">
        <f>'Expenditures &amp; Funding Sources'!#REF!</f>
        <v>#REF!</v>
      </c>
      <c r="I55" s="21">
        <v>50</v>
      </c>
      <c r="J55" s="21">
        <v>100</v>
      </c>
      <c r="K55" s="21">
        <v>100</v>
      </c>
      <c r="L55" s="99"/>
      <c r="M55" s="27"/>
      <c r="N55" s="25"/>
      <c r="O55" s="77">
        <f t="shared" si="0"/>
        <v>250</v>
      </c>
    </row>
    <row r="56" spans="1:15" s="116" customFormat="1" ht="19.5" customHeight="1">
      <c r="A56" s="123" t="s">
        <v>155</v>
      </c>
      <c r="B56" s="117"/>
      <c r="C56" s="118" t="s">
        <v>46</v>
      </c>
      <c r="D56" s="118" t="s">
        <v>152</v>
      </c>
      <c r="E56" s="118" t="s">
        <v>47</v>
      </c>
      <c r="F56" s="117"/>
      <c r="G56" s="117"/>
      <c r="H56" s="119" t="e">
        <f>'Expenditures &amp; Funding Sources'!#REF!</f>
        <v>#REF!</v>
      </c>
      <c r="I56" s="124"/>
      <c r="J56" s="124"/>
      <c r="K56" s="124"/>
      <c r="L56" s="125"/>
      <c r="M56" s="121"/>
      <c r="N56" s="119"/>
      <c r="O56" s="122"/>
    </row>
    <row r="57" spans="1:15" ht="19.5" customHeight="1">
      <c r="A57" s="61" t="s">
        <v>40</v>
      </c>
      <c r="B57" s="24">
        <v>40</v>
      </c>
      <c r="C57" s="23" t="s">
        <v>46</v>
      </c>
      <c r="D57" s="23" t="s">
        <v>59</v>
      </c>
      <c r="E57" s="28" t="s">
        <v>147</v>
      </c>
      <c r="F57" s="29">
        <v>11</v>
      </c>
      <c r="G57" s="29">
        <v>2009</v>
      </c>
      <c r="H57" s="25" t="e">
        <f>'Expenditures &amp; Funding Sources'!#REF!</f>
        <v>#REF!</v>
      </c>
      <c r="I57" s="48"/>
      <c r="J57" s="30"/>
      <c r="K57" s="30"/>
      <c r="L57" s="30"/>
      <c r="M57" s="30"/>
      <c r="N57" s="107"/>
      <c r="O57" s="77">
        <f t="shared" si="0"/>
        <v>0</v>
      </c>
    </row>
    <row r="58" spans="1:15" ht="19.5" customHeight="1">
      <c r="A58" s="61" t="s">
        <v>40</v>
      </c>
      <c r="B58" s="24">
        <v>41</v>
      </c>
      <c r="C58" s="23" t="s">
        <v>46</v>
      </c>
      <c r="D58" s="23" t="s">
        <v>60</v>
      </c>
      <c r="E58" s="28" t="s">
        <v>147</v>
      </c>
      <c r="F58" s="29">
        <v>8</v>
      </c>
      <c r="G58" s="29">
        <v>2011</v>
      </c>
      <c r="H58" s="25" t="e">
        <f>'Expenditures &amp; Funding Sources'!#REF!</f>
        <v>#REF!</v>
      </c>
      <c r="I58" s="48"/>
      <c r="J58" s="30">
        <v>50</v>
      </c>
      <c r="K58" s="30">
        <v>50</v>
      </c>
      <c r="L58" s="30">
        <v>100</v>
      </c>
      <c r="M58" s="30">
        <v>350</v>
      </c>
      <c r="N58" s="107"/>
      <c r="O58" s="77">
        <f t="shared" si="0"/>
        <v>550</v>
      </c>
    </row>
    <row r="59" spans="1:15" ht="19.5" customHeight="1">
      <c r="A59" s="63" t="s">
        <v>140</v>
      </c>
      <c r="B59" s="32">
        <v>43</v>
      </c>
      <c r="C59" s="31" t="s">
        <v>118</v>
      </c>
      <c r="D59" s="31" t="s">
        <v>119</v>
      </c>
      <c r="E59" s="31" t="s">
        <v>147</v>
      </c>
      <c r="F59" s="34">
        <v>9</v>
      </c>
      <c r="G59" s="34">
        <v>2008</v>
      </c>
      <c r="H59" s="35" t="e">
        <f>'Expenditures &amp; Funding Sources'!#REF!</f>
        <v>#REF!</v>
      </c>
      <c r="I59" s="49">
        <v>60</v>
      </c>
      <c r="J59" s="50"/>
      <c r="K59" s="50"/>
      <c r="L59" s="50"/>
      <c r="M59" s="50"/>
      <c r="N59" s="108"/>
      <c r="O59" s="79">
        <f t="shared" si="0"/>
        <v>60</v>
      </c>
    </row>
    <row r="60" spans="1:15" ht="19.5" customHeight="1">
      <c r="A60" s="73"/>
      <c r="B60" s="74"/>
      <c r="C60" s="74"/>
      <c r="D60" s="74"/>
      <c r="E60" s="74"/>
      <c r="F60" s="74"/>
      <c r="G60" s="9"/>
      <c r="H60" s="14"/>
      <c r="I60" s="15"/>
      <c r="J60" s="15"/>
      <c r="K60" s="15"/>
      <c r="L60" s="15"/>
      <c r="M60" s="15"/>
      <c r="N60" s="109"/>
      <c r="O60" s="80"/>
    </row>
    <row r="61" spans="1:15" ht="19.5" customHeight="1" thickBot="1">
      <c r="A61" s="75"/>
      <c r="B61" s="69"/>
      <c r="C61" s="69"/>
      <c r="D61" s="69"/>
      <c r="E61" s="69"/>
      <c r="F61" s="69"/>
      <c r="G61" s="70" t="s">
        <v>76</v>
      </c>
      <c r="H61" s="71" t="e">
        <f aca="true" t="shared" si="1" ref="H61:N61">SUM(H4:H59)</f>
        <v>#REF!</v>
      </c>
      <c r="I61" s="71">
        <f t="shared" si="1"/>
        <v>3109</v>
      </c>
      <c r="J61" s="71">
        <f t="shared" si="1"/>
        <v>2740</v>
      </c>
      <c r="K61" s="112">
        <f>SUM(K4:K59)</f>
        <v>1795</v>
      </c>
      <c r="L61" s="71">
        <f t="shared" si="1"/>
        <v>2430</v>
      </c>
      <c r="M61" s="71">
        <f t="shared" si="1"/>
        <v>2130</v>
      </c>
      <c r="N61" s="71">
        <f t="shared" si="1"/>
        <v>2357</v>
      </c>
      <c r="O61" s="81">
        <f>SUM(O4:O59)</f>
        <v>14561</v>
      </c>
    </row>
    <row r="62" spans="1:22" ht="45.75" customHeight="1">
      <c r="A62" s="232" t="s">
        <v>89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6"/>
      <c r="P62" s="6"/>
      <c r="Q62" s="6"/>
      <c r="R62" s="6"/>
      <c r="S62" s="6"/>
      <c r="T62" s="6"/>
      <c r="U62" s="6"/>
      <c r="V62" s="6"/>
    </row>
    <row r="63" spans="1:15" ht="51.75" customHeight="1">
      <c r="A63" s="232" t="s">
        <v>121</v>
      </c>
      <c r="B63" s="232"/>
      <c r="C63" s="233"/>
      <c r="D63" s="233"/>
      <c r="E63" s="234"/>
      <c r="F63" s="234"/>
      <c r="G63" s="235"/>
      <c r="H63" s="235"/>
      <c r="I63" s="235"/>
      <c r="J63" s="235"/>
      <c r="K63" s="235"/>
      <c r="L63" s="235"/>
      <c r="M63" s="235"/>
      <c r="N63" s="235"/>
      <c r="O63" s="17"/>
    </row>
    <row r="64" spans="1:30" ht="52.5" customHeight="1">
      <c r="A64" s="230" t="s">
        <v>150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</sheetData>
  <sheetProtection/>
  <mergeCells count="7">
    <mergeCell ref="A1:O1"/>
    <mergeCell ref="A2:H2"/>
    <mergeCell ref="I2:N2"/>
    <mergeCell ref="A64:N64"/>
    <mergeCell ref="A62:N62"/>
    <mergeCell ref="A63:N63"/>
    <mergeCell ref="O2:O3"/>
  </mergeCells>
  <printOptions/>
  <pageMargins left="0.61" right="0.5" top="0.34" bottom="0.19" header="0" footer="0"/>
  <pageSetup fitToHeight="1" fitToWidth="1" horizontalDpi="600" verticalDpi="600" orientation="landscape" paperSize="17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C40" sqref="C40"/>
    </sheetView>
  </sheetViews>
  <sheetFormatPr defaultColWidth="9.140625" defaultRowHeight="12.75"/>
  <cols>
    <col min="1" max="1" width="27.7109375" style="0" customWidth="1"/>
    <col min="2" max="2" width="12.57421875" style="0" customWidth="1"/>
    <col min="3" max="3" width="17.28125" style="0" customWidth="1"/>
    <col min="4" max="4" width="27.28125" style="0" customWidth="1"/>
  </cols>
  <sheetData>
    <row r="1" spans="1:2" ht="12.75">
      <c r="A1" s="3" t="s">
        <v>50</v>
      </c>
      <c r="B1">
        <v>130</v>
      </c>
    </row>
    <row r="2" spans="1:2" ht="12.75">
      <c r="A2" s="3" t="s">
        <v>50</v>
      </c>
      <c r="B2">
        <v>100</v>
      </c>
    </row>
    <row r="3" spans="1:2" ht="12.75">
      <c r="A3" s="3" t="s">
        <v>50</v>
      </c>
      <c r="B3">
        <v>160</v>
      </c>
    </row>
    <row r="4" spans="1:2" ht="12.75">
      <c r="A4" s="3" t="s">
        <v>50</v>
      </c>
      <c r="B4">
        <v>500</v>
      </c>
    </row>
    <row r="5" spans="1:2" ht="12.75">
      <c r="A5" s="2" t="s">
        <v>50</v>
      </c>
      <c r="B5">
        <v>2500</v>
      </c>
    </row>
    <row r="6" spans="1:2" ht="12.75">
      <c r="A6" s="4" t="s">
        <v>50</v>
      </c>
      <c r="B6">
        <v>1710</v>
      </c>
    </row>
    <row r="7" spans="1:2" ht="12.75">
      <c r="A7" s="4" t="s">
        <v>50</v>
      </c>
      <c r="B7">
        <v>250</v>
      </c>
    </row>
    <row r="8" spans="1:2" ht="12.75">
      <c r="A8" s="4" t="s">
        <v>50</v>
      </c>
      <c r="B8">
        <v>200</v>
      </c>
    </row>
    <row r="9" spans="1:2" ht="12.75">
      <c r="A9" s="5" t="s">
        <v>50</v>
      </c>
      <c r="B9">
        <v>1305</v>
      </c>
    </row>
    <row r="10" spans="1:2" ht="12.75">
      <c r="A10" s="5" t="s">
        <v>50</v>
      </c>
      <c r="B10">
        <v>2040</v>
      </c>
    </row>
    <row r="11" spans="1:4" ht="12.75">
      <c r="A11" s="5" t="s">
        <v>50</v>
      </c>
      <c r="B11">
        <v>710</v>
      </c>
      <c r="C11">
        <f>SUM(B1:B11)</f>
        <v>9605</v>
      </c>
      <c r="D11" t="s">
        <v>122</v>
      </c>
    </row>
    <row r="12" spans="1:4" ht="12.75">
      <c r="A12" s="5" t="s">
        <v>53</v>
      </c>
      <c r="B12">
        <v>2050</v>
      </c>
      <c r="C12">
        <f>B12</f>
        <v>2050</v>
      </c>
      <c r="D12" t="s">
        <v>123</v>
      </c>
    </row>
    <row r="13" spans="1:4" ht="12.75">
      <c r="A13" s="3" t="s">
        <v>19</v>
      </c>
      <c r="B13">
        <v>2000</v>
      </c>
      <c r="C13">
        <f>B13</f>
        <v>2000</v>
      </c>
      <c r="D13" t="s">
        <v>124</v>
      </c>
    </row>
    <row r="14" spans="1:2" ht="12.75">
      <c r="A14" s="2" t="s">
        <v>51</v>
      </c>
      <c r="B14">
        <v>750</v>
      </c>
    </row>
    <row r="15" spans="1:2" ht="12.75">
      <c r="A15" s="3" t="s">
        <v>51</v>
      </c>
      <c r="B15">
        <v>955</v>
      </c>
    </row>
    <row r="16" spans="1:2" ht="12.75">
      <c r="A16" s="3" t="s">
        <v>51</v>
      </c>
      <c r="B16">
        <v>525</v>
      </c>
    </row>
    <row r="17" spans="1:2" ht="12.75">
      <c r="A17" s="3" t="s">
        <v>51</v>
      </c>
      <c r="B17">
        <v>415</v>
      </c>
    </row>
    <row r="18" spans="1:4" ht="12.75">
      <c r="A18" s="3" t="s">
        <v>51</v>
      </c>
      <c r="B18">
        <v>400</v>
      </c>
      <c r="C18">
        <f>SUM(B14:B18)</f>
        <v>3045</v>
      </c>
      <c r="D18" t="s">
        <v>125</v>
      </c>
    </row>
    <row r="19" spans="1:2" ht="12.75">
      <c r="A19" s="5" t="s">
        <v>55</v>
      </c>
      <c r="B19">
        <v>1580</v>
      </c>
    </row>
    <row r="20" spans="1:2" ht="12.75">
      <c r="A20" s="3" t="s">
        <v>55</v>
      </c>
      <c r="B20">
        <v>1325</v>
      </c>
    </row>
    <row r="21" spans="1:4" ht="12.75">
      <c r="A21" s="3" t="s">
        <v>55</v>
      </c>
      <c r="B21">
        <v>1300</v>
      </c>
      <c r="C21">
        <f>SUM(B19:B21)</f>
        <v>4205</v>
      </c>
      <c r="D21" t="s">
        <v>126</v>
      </c>
    </row>
    <row r="22" spans="1:2" ht="12.75">
      <c r="A22" s="3" t="s">
        <v>83</v>
      </c>
      <c r="B22">
        <v>380</v>
      </c>
    </row>
    <row r="23" spans="1:2" ht="12.75">
      <c r="A23" s="3" t="s">
        <v>83</v>
      </c>
      <c r="B23">
        <v>455</v>
      </c>
    </row>
    <row r="24" spans="1:2" ht="12.75">
      <c r="A24" s="3" t="s">
        <v>83</v>
      </c>
      <c r="B24">
        <v>455</v>
      </c>
    </row>
    <row r="25" spans="1:4" ht="12.75">
      <c r="A25" s="3" t="s">
        <v>83</v>
      </c>
      <c r="B25">
        <v>455</v>
      </c>
      <c r="C25">
        <f>SUM(B22:B25)</f>
        <v>1745</v>
      </c>
      <c r="D25" t="s">
        <v>127</v>
      </c>
    </row>
    <row r="26" spans="1:2" ht="12.75">
      <c r="A26" s="3" t="s">
        <v>49</v>
      </c>
      <c r="B26">
        <v>294</v>
      </c>
    </row>
    <row r="27" spans="1:2" ht="12.75">
      <c r="A27" s="2" t="s">
        <v>49</v>
      </c>
      <c r="B27">
        <v>160</v>
      </c>
    </row>
    <row r="28" spans="1:4" ht="12.75">
      <c r="A28" s="5" t="s">
        <v>49</v>
      </c>
      <c r="B28">
        <v>440</v>
      </c>
      <c r="C28">
        <f>SUM(B26:B28)</f>
        <v>894</v>
      </c>
      <c r="D28" t="s">
        <v>128</v>
      </c>
    </row>
    <row r="29" spans="1:2" ht="12.75">
      <c r="A29" s="3" t="s">
        <v>47</v>
      </c>
      <c r="B29">
        <v>2695</v>
      </c>
    </row>
    <row r="30" spans="1:2" ht="12.75">
      <c r="A30" s="5" t="s">
        <v>47</v>
      </c>
      <c r="B30">
        <v>1170</v>
      </c>
    </row>
    <row r="31" spans="1:2" ht="12.75">
      <c r="A31" s="3" t="s">
        <v>47</v>
      </c>
      <c r="B31">
        <v>4490</v>
      </c>
    </row>
    <row r="32" spans="1:4" ht="12.75">
      <c r="A32" s="3" t="s">
        <v>47</v>
      </c>
      <c r="B32">
        <v>3200</v>
      </c>
      <c r="C32">
        <f>SUM(B29:B32)</f>
        <v>11555</v>
      </c>
      <c r="D32" t="s">
        <v>129</v>
      </c>
    </row>
    <row r="33" spans="1:2" ht="12.75">
      <c r="A33" s="2" t="s">
        <v>48</v>
      </c>
      <c r="B33">
        <v>750</v>
      </c>
    </row>
    <row r="34" spans="1:2" ht="12.75">
      <c r="A34" s="2" t="s">
        <v>48</v>
      </c>
      <c r="B34">
        <v>750</v>
      </c>
    </row>
    <row r="35" spans="1:2" ht="12.75">
      <c r="A35" s="2" t="s">
        <v>48</v>
      </c>
      <c r="B35">
        <v>750</v>
      </c>
    </row>
    <row r="36" spans="1:2" ht="12.75">
      <c r="A36" s="2" t="s">
        <v>48</v>
      </c>
      <c r="B36">
        <v>500</v>
      </c>
    </row>
    <row r="37" spans="1:4" ht="12.75">
      <c r="A37" s="3" t="s">
        <v>48</v>
      </c>
      <c r="B37">
        <v>1250</v>
      </c>
      <c r="C37">
        <f>SUM(B33:B37)</f>
        <v>4000</v>
      </c>
      <c r="D37" t="s">
        <v>130</v>
      </c>
    </row>
    <row r="38" spans="1:4" ht="12.75">
      <c r="A38" s="2" t="s">
        <v>120</v>
      </c>
      <c r="B38">
        <v>360</v>
      </c>
      <c r="C38">
        <f>B38</f>
        <v>360</v>
      </c>
      <c r="D38" t="s">
        <v>131</v>
      </c>
    </row>
    <row r="39" spans="1:2" ht="12.75">
      <c r="A39" s="1" t="s">
        <v>52</v>
      </c>
      <c r="B39">
        <v>500</v>
      </c>
    </row>
    <row r="40" spans="1:4" ht="12.75">
      <c r="A40" s="5" t="s">
        <v>52</v>
      </c>
      <c r="B40">
        <v>105</v>
      </c>
      <c r="C40">
        <f>SUM(B39:B40)</f>
        <v>605</v>
      </c>
      <c r="D40" t="s">
        <v>132</v>
      </c>
    </row>
    <row r="41" spans="1:4" ht="12.75">
      <c r="A41" s="5" t="s">
        <v>54</v>
      </c>
      <c r="B41">
        <v>17600</v>
      </c>
      <c r="C41">
        <f>B41</f>
        <v>17600</v>
      </c>
      <c r="D41" t="s">
        <v>133</v>
      </c>
    </row>
    <row r="42" spans="1:4" ht="12.75">
      <c r="A42" s="3" t="s">
        <v>85</v>
      </c>
      <c r="B42">
        <v>910</v>
      </c>
      <c r="C42">
        <f>B42</f>
        <v>910</v>
      </c>
      <c r="D42" t="s">
        <v>134</v>
      </c>
    </row>
    <row r="43" spans="1:4" ht="12.75">
      <c r="A43" s="5" t="s">
        <v>84</v>
      </c>
      <c r="B43">
        <v>1885</v>
      </c>
      <c r="C43">
        <f>B43</f>
        <v>1885</v>
      </c>
      <c r="D43" t="s">
        <v>135</v>
      </c>
    </row>
    <row r="44" ht="12.75">
      <c r="B44">
        <f>SUM(B1:B43)</f>
        <v>60459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Washtenaw County Road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WCRC USER</dc:creator>
  <cp:keywords/>
  <dc:description/>
  <cp:lastModifiedBy>Roy Townsend</cp:lastModifiedBy>
  <cp:lastPrinted>2013-12-09T19:11:42Z</cp:lastPrinted>
  <dcterms:created xsi:type="dcterms:W3CDTF">2007-03-21T12:31:17Z</dcterms:created>
  <dcterms:modified xsi:type="dcterms:W3CDTF">2013-12-09T19:12:39Z</dcterms:modified>
  <cp:category/>
  <cp:version/>
  <cp:contentType/>
  <cp:contentStatus/>
</cp:coreProperties>
</file>