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75" windowHeight="11610" activeTab="3"/>
  </bookViews>
  <sheets>
    <sheet name="Summary" sheetId="6" r:id="rId1"/>
    <sheet name="Summary (2)" sheetId="9" r:id="rId2"/>
    <sheet name="Summary (3)" sheetId="10" r:id="rId3"/>
    <sheet name="Summary (4)" sheetId="11" r:id="rId4"/>
    <sheet name="Summary (5)" sheetId="12" r:id="rId5"/>
    <sheet name="Stipends+Flex" sheetId="5" r:id="rId6"/>
    <sheet name="Flex (no Stipends)" sheetId="7" r:id="rId7"/>
    <sheet name="Stipends (no Flex)" sheetId="8" r:id="rId8"/>
    <sheet name="Sheet1" sheetId="1" r:id="rId9"/>
    <sheet name="Sheet2" sheetId="4" r:id="rId10"/>
  </sheets>
  <calcPr calcId="145621"/>
</workbook>
</file>

<file path=xl/calcChain.xml><?xml version="1.0" encoding="utf-8"?>
<calcChain xmlns="http://schemas.openxmlformats.org/spreadsheetml/2006/main">
  <c r="J6" i="11" l="1"/>
  <c r="J8" i="11"/>
  <c r="J8" i="12" l="1"/>
  <c r="J6" i="12"/>
  <c r="N8" i="12"/>
  <c r="N6" i="12"/>
  <c r="O6" i="12" s="1"/>
  <c r="N7" i="12"/>
  <c r="O7" i="12" s="1"/>
  <c r="H8" i="12"/>
  <c r="E8" i="12"/>
  <c r="E7" i="12"/>
  <c r="K7" i="12" s="1"/>
  <c r="L7" i="12" s="1"/>
  <c r="D7" i="12"/>
  <c r="H6" i="12"/>
  <c r="E6" i="12"/>
  <c r="E12" i="12" s="1"/>
  <c r="K8" i="12" l="1"/>
  <c r="L8" i="12" s="1"/>
  <c r="K6" i="12"/>
  <c r="L6" i="12" s="1"/>
  <c r="N12" i="12"/>
  <c r="J12" i="12"/>
  <c r="D7" i="11"/>
  <c r="H8" i="11"/>
  <c r="E8" i="11"/>
  <c r="E7" i="11"/>
  <c r="K7" i="11" s="1"/>
  <c r="H6" i="11"/>
  <c r="E6" i="11"/>
  <c r="K6" i="11" s="1"/>
  <c r="K12" i="12" l="1"/>
  <c r="L12" i="12" s="1"/>
  <c r="K8" i="11"/>
  <c r="J12" i="11"/>
  <c r="E12" i="11"/>
  <c r="D8" i="10"/>
  <c r="I8" i="10" s="1"/>
  <c r="J8" i="10" s="1"/>
  <c r="K8" i="10" s="1"/>
  <c r="G7" i="10"/>
  <c r="H14" i="10"/>
  <c r="G8" i="10"/>
  <c r="G6" i="10"/>
  <c r="D6" i="10"/>
  <c r="K12" i="11" l="1"/>
  <c r="L12" i="11" s="1"/>
  <c r="I6" i="10"/>
  <c r="H17" i="9"/>
  <c r="G11" i="9"/>
  <c r="F10" i="9"/>
  <c r="D10" i="9"/>
  <c r="D11" i="9" s="1"/>
  <c r="G7" i="9"/>
  <c r="D7" i="9"/>
  <c r="F6" i="9"/>
  <c r="A14" i="5"/>
  <c r="I7" i="9" s="1"/>
  <c r="I6" i="9" s="1"/>
  <c r="I11" i="9" l="1"/>
  <c r="I10" i="9" s="1"/>
  <c r="J10" i="9" l="1"/>
  <c r="K10" i="9" s="1"/>
  <c r="I15" i="9"/>
  <c r="I17" i="9"/>
  <c r="G11" i="6"/>
  <c r="I22" i="9" l="1"/>
  <c r="I7" i="6"/>
  <c r="F6" i="6" l="1"/>
  <c r="F10" i="6"/>
  <c r="H17" i="6" l="1"/>
  <c r="G7" i="6" l="1"/>
  <c r="I6" i="6"/>
  <c r="D10" i="6"/>
  <c r="D11" i="6" s="1"/>
  <c r="I11" i="6" s="1"/>
  <c r="D7" i="6"/>
  <c r="L20" i="8" l="1"/>
  <c r="I21" i="8"/>
  <c r="F18" i="8"/>
  <c r="A18" i="8" s="1"/>
  <c r="B18" i="8"/>
  <c r="B17" i="8"/>
  <c r="B15" i="8"/>
  <c r="A15" i="8"/>
  <c r="A19" i="8" s="1"/>
  <c r="B14" i="8"/>
  <c r="I6" i="8"/>
  <c r="A2" i="8"/>
  <c r="A3" i="8" s="1"/>
  <c r="L15" i="8" l="1"/>
  <c r="L21" i="8"/>
  <c r="A21" i="8" s="1"/>
  <c r="L3" i="8"/>
  <c r="M15" i="8" s="1"/>
  <c r="F15" i="8"/>
  <c r="A6" i="8"/>
  <c r="I21" i="7"/>
  <c r="F18" i="7"/>
  <c r="A18" i="7" s="1"/>
  <c r="B18" i="7"/>
  <c r="B17" i="7"/>
  <c r="B15" i="7"/>
  <c r="A15" i="7"/>
  <c r="L15" i="7" s="1"/>
  <c r="B14" i="7"/>
  <c r="I6" i="7"/>
  <c r="A2" i="7"/>
  <c r="A3" i="7" s="1"/>
  <c r="F15" i="7" s="1"/>
  <c r="I6" i="5"/>
  <c r="I21" i="5"/>
  <c r="B15" i="5"/>
  <c r="A15" i="5"/>
  <c r="L15" i="5" s="1"/>
  <c r="B18" i="5"/>
  <c r="A2" i="5"/>
  <c r="A3" i="5" l="1"/>
  <c r="A6" i="5" s="1"/>
  <c r="D7" i="10"/>
  <c r="D8" i="9"/>
  <c r="D6" i="9" s="1"/>
  <c r="D8" i="6"/>
  <c r="D6" i="6" s="1"/>
  <c r="F21" i="8"/>
  <c r="L6" i="8"/>
  <c r="M21" i="8" s="1"/>
  <c r="A9" i="8"/>
  <c r="A10" i="8" s="1"/>
  <c r="B21" i="8" s="1"/>
  <c r="A6" i="7"/>
  <c r="A19" i="7"/>
  <c r="L21" i="7" s="1"/>
  <c r="A21" i="7" s="1"/>
  <c r="L3" i="7"/>
  <c r="M15" i="7" s="1"/>
  <c r="L3" i="5"/>
  <c r="M15" i="5" s="1"/>
  <c r="F15" i="5"/>
  <c r="B17" i="5"/>
  <c r="F18" i="5"/>
  <c r="B14" i="5"/>
  <c r="D15" i="9" l="1"/>
  <c r="J6" i="9"/>
  <c r="K6" i="9" s="1"/>
  <c r="I7" i="10"/>
  <c r="I12" i="10" s="1"/>
  <c r="D12" i="10"/>
  <c r="D14" i="10" s="1"/>
  <c r="D19" i="10" s="1"/>
  <c r="D15" i="6"/>
  <c r="D17" i="6" s="1"/>
  <c r="D22" i="6" s="1"/>
  <c r="J6" i="6"/>
  <c r="K6" i="6" s="1"/>
  <c r="A9" i="7"/>
  <c r="A10" i="7" s="1"/>
  <c r="B21" i="7" s="1"/>
  <c r="L6" i="7"/>
  <c r="M21" i="7" s="1"/>
  <c r="F21" i="7"/>
  <c r="A18" i="5"/>
  <c r="A9" i="5"/>
  <c r="A10" i="5" s="1"/>
  <c r="L6" i="5"/>
  <c r="J12" i="10" l="1"/>
  <c r="K12" i="10" s="1"/>
  <c r="I14" i="10"/>
  <c r="D17" i="9"/>
  <c r="J15" i="9"/>
  <c r="K15" i="9" s="1"/>
  <c r="A19" i="5"/>
  <c r="L21" i="5" s="1"/>
  <c r="A21" i="5" s="1"/>
  <c r="F21" i="5" s="1"/>
  <c r="D22" i="9" l="1"/>
  <c r="J17" i="9"/>
  <c r="J14" i="10"/>
  <c r="I19" i="10"/>
  <c r="M21" i="5"/>
  <c r="B21" i="5"/>
  <c r="I10" i="6"/>
  <c r="E3" i="4"/>
  <c r="B4" i="4"/>
  <c r="B3" i="4"/>
  <c r="B2" i="4"/>
  <c r="B14" i="4" s="1"/>
  <c r="A2" i="4"/>
  <c r="B1" i="4"/>
  <c r="B13" i="4" s="1"/>
  <c r="A1" i="4"/>
  <c r="A13" i="4" s="1"/>
  <c r="K17" i="9" l="1"/>
  <c r="K22" i="9"/>
  <c r="K19" i="10"/>
  <c r="K14" i="10"/>
  <c r="J10" i="6"/>
  <c r="K10" i="6" s="1"/>
  <c r="I15" i="6"/>
  <c r="A10" i="4"/>
  <c r="A11" i="4" s="1"/>
  <c r="T10" i="1"/>
  <c r="W10" i="1" s="1"/>
  <c r="A10" i="1" s="1"/>
  <c r="N10" i="1"/>
  <c r="S10" i="1" s="1"/>
  <c r="K18" i="1"/>
  <c r="F18" i="1"/>
  <c r="B16" i="1"/>
  <c r="A3" i="1"/>
  <c r="A4" i="1" l="1"/>
  <c r="P4" i="1" s="1"/>
  <c r="A3" i="4"/>
  <c r="J15" i="6"/>
  <c r="K15" i="6" s="1"/>
  <c r="I17" i="6"/>
  <c r="A18" i="1"/>
  <c r="A7" i="1"/>
  <c r="A8" i="1" s="1"/>
  <c r="A11" i="1" s="1"/>
  <c r="A13" i="1" s="1"/>
  <c r="A15" i="4" l="1"/>
  <c r="A16" i="4" s="1"/>
  <c r="A4" i="4"/>
  <c r="J17" i="6"/>
  <c r="I22" i="6"/>
  <c r="A19" i="1"/>
  <c r="F19" i="1" s="1"/>
  <c r="A14" i="1"/>
  <c r="A7" i="4" l="1"/>
  <c r="A8" i="4" s="1"/>
  <c r="P4" i="4"/>
  <c r="F16" i="4"/>
  <c r="P16" i="4"/>
  <c r="B16" i="4"/>
  <c r="K17" i="6"/>
  <c r="K22" i="6"/>
  <c r="B19" i="1"/>
  <c r="P19" i="1"/>
  <c r="Q19" i="1" s="1"/>
  <c r="Q16" i="4" l="1"/>
</calcChain>
</file>

<file path=xl/sharedStrings.xml><?xml version="1.0" encoding="utf-8"?>
<sst xmlns="http://schemas.openxmlformats.org/spreadsheetml/2006/main" count="148" uniqueCount="48">
  <si>
    <t>salary</t>
  </si>
  <si>
    <t>flex</t>
  </si>
  <si>
    <t>retirement</t>
  </si>
  <si>
    <t>reduction</t>
  </si>
  <si>
    <t>mileage</t>
  </si>
  <si>
    <t>@</t>
  </si>
  <si>
    <t>salary+retirement</t>
  </si>
  <si>
    <t>retirement estimate</t>
  </si>
  <si>
    <t>approximate salary</t>
  </si>
  <si>
    <t>(over)/under target</t>
  </si>
  <si>
    <t>total compensation</t>
  </si>
  <si>
    <t>target compensation</t>
  </si>
  <si>
    <t>miles, max one-way</t>
  </si>
  <si>
    <t>round trip</t>
  </si>
  <si>
    <t>meetings/month</t>
  </si>
  <si>
    <t>commissioners</t>
  </si>
  <si>
    <t>meetings/year</t>
  </si>
  <si>
    <t>per mile</t>
  </si>
  <si>
    <t>monthly average</t>
  </si>
  <si>
    <t>reduce flex</t>
  </si>
  <si>
    <t>of salary</t>
  </si>
  <si>
    <t>new flex</t>
  </si>
  <si>
    <t>stipends</t>
  </si>
  <si>
    <t>total financial impact</t>
  </si>
  <si>
    <t>target financial impact</t>
  </si>
  <si>
    <t>statutory financial impact</t>
  </si>
  <si>
    <t>Current</t>
  </si>
  <si>
    <t>Statutory Compensation</t>
  </si>
  <si>
    <t>Salary</t>
  </si>
  <si>
    <t>Flex Account</t>
  </si>
  <si>
    <t>TOTAL</t>
  </si>
  <si>
    <t>7.5% contribution</t>
  </si>
  <si>
    <t>Board of Commissioners compensation</t>
  </si>
  <si>
    <t>Washtenaw County</t>
  </si>
  <si>
    <t>Proposed: 2013–14</t>
  </si>
  <si>
    <t>Mileage reimbursement: per county policy</t>
  </si>
  <si>
    <t>Commissioners</t>
  </si>
  <si>
    <t xml:space="preserve">Pension </t>
  </si>
  <si>
    <t>Optional Benefits</t>
  </si>
  <si>
    <t>BOC Chair</t>
  </si>
  <si>
    <t>BOC Vice-chair</t>
  </si>
  <si>
    <t>W&amp;M Chair</t>
  </si>
  <si>
    <t>WS Chair</t>
  </si>
  <si>
    <t>Stipends replace per diems</t>
  </si>
  <si>
    <t>457 contribution</t>
  </si>
  <si>
    <t>457 per county policy</t>
  </si>
  <si>
    <t xml:space="preserve">457 1-1 match up to </t>
  </si>
  <si>
    <t>with full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</si>
</sst>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0_);[Red]\(&quot;$&quot;#,##0.000\)"/>
    <numFmt numFmtId="165" formatCode="0.0%"/>
  </numFmts>
  <fonts count="12" x14ac:knownFonts="1">
    <font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u val="doubleAccounting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6" fontId="0" fillId="0" borderId="0" xfId="0" applyNumberFormat="1"/>
    <xf numFmtId="10" fontId="0" fillId="0" borderId="0" xfId="0" applyNumberFormat="1"/>
    <xf numFmtId="8" fontId="0" fillId="0" borderId="0" xfId="0" applyNumberFormat="1"/>
    <xf numFmtId="6" fontId="1" fillId="0" borderId="0" xfId="0" applyNumberFormat="1" applyFont="1"/>
    <xf numFmtId="9" fontId="0" fillId="0" borderId="0" xfId="0" applyNumberFormat="1"/>
    <xf numFmtId="0" fontId="0" fillId="0" borderId="0" xfId="0"/>
    <xf numFmtId="164" fontId="0" fillId="0" borderId="0" xfId="0" applyNumberFormat="1"/>
    <xf numFmtId="165" fontId="0" fillId="0" borderId="0" xfId="0" applyNumberFormat="1"/>
    <xf numFmtId="6" fontId="3" fillId="0" borderId="0" xfId="0" applyNumberFormat="1" applyFont="1"/>
    <xf numFmtId="6" fontId="0" fillId="0" borderId="0" xfId="0" applyNumberFormat="1" applyFont="1"/>
    <xf numFmtId="6" fontId="2" fillId="0" borderId="0" xfId="0" applyNumberFormat="1" applyFont="1"/>
    <xf numFmtId="1" fontId="0" fillId="0" borderId="0" xfId="0" applyNumberFormat="1"/>
    <xf numFmtId="6" fontId="4" fillId="0" borderId="0" xfId="0" applyNumberFormat="1" applyFont="1"/>
    <xf numFmtId="6" fontId="0" fillId="0" borderId="0" xfId="0" applyNumberFormat="1" applyBorder="1"/>
    <xf numFmtId="165" fontId="0" fillId="0" borderId="0" xfId="1" applyNumberFormat="1" applyFont="1"/>
    <xf numFmtId="6" fontId="7" fillId="0" borderId="0" xfId="0" applyNumberFormat="1" applyFont="1"/>
    <xf numFmtId="6" fontId="8" fillId="0" borderId="0" xfId="0" applyNumberFormat="1" applyFont="1"/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left" vertical="top" wrapText="1"/>
    </xf>
    <xf numFmtId="6" fontId="11" fillId="0" borderId="0" xfId="0" applyNumberFormat="1" applyFont="1"/>
    <xf numFmtId="6" fontId="11" fillId="0" borderId="0" xfId="0" applyNumberFormat="1" applyFont="1" applyBorder="1"/>
    <xf numFmtId="0" fontId="0" fillId="0" borderId="0" xfId="0" applyFont="1"/>
    <xf numFmtId="165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D10" sqref="D10"/>
    </sheetView>
  </sheetViews>
  <sheetFormatPr defaultRowHeight="15" x14ac:dyDescent="0.25"/>
  <cols>
    <col min="1" max="1" width="2.140625" customWidth="1"/>
    <col min="2" max="2" width="8.28515625" customWidth="1"/>
    <col min="3" max="3" width="17.140625" customWidth="1"/>
    <col min="4" max="4" width="11.28515625" customWidth="1"/>
    <col min="5" max="5" width="7.85546875" customWidth="1"/>
    <col min="6" max="6" width="2.140625" customWidth="1"/>
    <col min="7" max="7" width="9.28515625" customWidth="1"/>
    <col min="8" max="8" width="15.85546875" customWidth="1"/>
    <col min="9" max="9" width="11.42578125" customWidth="1"/>
    <col min="10" max="10" width="9.7109375" customWidth="1"/>
    <col min="11" max="11" width="6.7109375" customWidth="1"/>
  </cols>
  <sheetData>
    <row r="1" spans="1:11" s="6" customFormat="1" ht="23.25" x14ac:dyDescent="0.3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6" customFormat="1" ht="23.25" x14ac:dyDescent="0.35">
      <c r="B2" s="25" t="s">
        <v>32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s="6" customFormat="1" x14ac:dyDescent="0.25"/>
    <row r="4" spans="1:11" ht="21" x14ac:dyDescent="0.35">
      <c r="A4" s="26" t="s">
        <v>26</v>
      </c>
      <c r="B4" s="26"/>
      <c r="C4" s="26"/>
      <c r="D4" s="26"/>
      <c r="F4" s="26" t="s">
        <v>34</v>
      </c>
      <c r="G4" s="26"/>
      <c r="H4" s="26"/>
      <c r="I4" s="26"/>
    </row>
    <row r="6" spans="1:11" ht="21" x14ac:dyDescent="0.45">
      <c r="A6" s="18" t="s">
        <v>27</v>
      </c>
      <c r="D6" s="16">
        <f>SUM(D7:D8)</f>
        <v>16662.5</v>
      </c>
      <c r="F6" s="18" t="str">
        <f>A6</f>
        <v>Statutory Compensation</v>
      </c>
      <c r="I6" s="16">
        <f>SUM(I7:I8)</f>
        <v>15500</v>
      </c>
      <c r="J6" s="1">
        <f>I6-D6</f>
        <v>-1162.5</v>
      </c>
      <c r="K6" s="15">
        <f>J6/D6</f>
        <v>-6.9767441860465115E-2</v>
      </c>
    </row>
    <row r="7" spans="1:11" x14ac:dyDescent="0.25">
      <c r="B7" t="s">
        <v>28</v>
      </c>
      <c r="D7" s="1">
        <f>'Stipends+Flex'!A1</f>
        <v>15500</v>
      </c>
      <c r="G7" t="str">
        <f>B7</f>
        <v>Salary</v>
      </c>
      <c r="I7" s="1">
        <f>'Stipends+Flex'!A14</f>
        <v>15500</v>
      </c>
      <c r="J7" s="1"/>
      <c r="K7" s="15"/>
    </row>
    <row r="8" spans="1:11" x14ac:dyDescent="0.25">
      <c r="B8" t="s">
        <v>37</v>
      </c>
      <c r="C8" s="6" t="s">
        <v>31</v>
      </c>
      <c r="D8" s="14">
        <f>'Stipends+Flex'!A2</f>
        <v>1162.5</v>
      </c>
      <c r="I8" s="1"/>
      <c r="J8" s="1"/>
      <c r="K8" s="15"/>
    </row>
    <row r="10" spans="1:11" ht="21" x14ac:dyDescent="0.45">
      <c r="A10" s="18" t="s">
        <v>38</v>
      </c>
      <c r="D10" s="16">
        <f>'Stipends+Flex'!A5</f>
        <v>3550</v>
      </c>
      <c r="F10" s="18" t="str">
        <f>A10</f>
        <v>Optional Benefits</v>
      </c>
      <c r="I10" s="16">
        <f>SUM(I11:I12)</f>
        <v>3500</v>
      </c>
      <c r="J10" s="1">
        <f>I10-D10</f>
        <v>-50</v>
      </c>
      <c r="K10" s="15">
        <f>J10/D10</f>
        <v>-1.4084507042253521E-2</v>
      </c>
    </row>
    <row r="11" spans="1:11" x14ac:dyDescent="0.25">
      <c r="B11" t="s">
        <v>29</v>
      </c>
      <c r="D11" s="1">
        <f>D10</f>
        <v>3550</v>
      </c>
      <c r="G11" t="str">
        <f>B11</f>
        <v>Flex Account</v>
      </c>
      <c r="I11" s="1">
        <f>D11-50</f>
        <v>3500</v>
      </c>
      <c r="J11" s="1"/>
      <c r="K11" s="15"/>
    </row>
    <row r="12" spans="1:11" x14ac:dyDescent="0.25">
      <c r="G12" t="s">
        <v>43</v>
      </c>
      <c r="H12" s="1"/>
      <c r="I12" s="10"/>
      <c r="K12" s="8"/>
    </row>
    <row r="13" spans="1:11" x14ac:dyDescent="0.25">
      <c r="G13" t="s">
        <v>35</v>
      </c>
    </row>
    <row r="14" spans="1:11" s="6" customFormat="1" x14ac:dyDescent="0.25"/>
    <row r="15" spans="1:11" ht="21" x14ac:dyDescent="0.45">
      <c r="A15" s="19" t="s">
        <v>30</v>
      </c>
      <c r="D15" s="17">
        <f>D6+D10</f>
        <v>20212.5</v>
      </c>
      <c r="I15" s="17">
        <f>I6+I10</f>
        <v>19000</v>
      </c>
      <c r="J15" s="1">
        <f>I15-D15</f>
        <v>-1212.5</v>
      </c>
      <c r="K15" s="15">
        <f>J15/D15</f>
        <v>-5.9987631416202843E-2</v>
      </c>
    </row>
    <row r="16" spans="1:11" s="6" customFormat="1" ht="45.75" customHeight="1" x14ac:dyDescent="0.25">
      <c r="G16" s="20"/>
      <c r="H16" s="20"/>
      <c r="I16" s="20"/>
      <c r="J16" s="20"/>
      <c r="K16" s="20"/>
    </row>
    <row r="17" spans="2:11" x14ac:dyDescent="0.25">
      <c r="B17">
        <v>11</v>
      </c>
      <c r="C17" t="s">
        <v>36</v>
      </c>
      <c r="D17" s="1">
        <f>D15*B17</f>
        <v>222337.5</v>
      </c>
      <c r="G17">
        <v>9</v>
      </c>
      <c r="H17" t="str">
        <f>C17</f>
        <v>Commissioners</v>
      </c>
      <c r="I17" s="1">
        <f>I15*G17</f>
        <v>171000</v>
      </c>
      <c r="J17" s="1">
        <f>I17-D17</f>
        <v>-51337.5</v>
      </c>
      <c r="K17" s="15">
        <f>J17/D17</f>
        <v>-0.23089897115871141</v>
      </c>
    </row>
    <row r="18" spans="2:11" x14ac:dyDescent="0.25">
      <c r="C18" t="s">
        <v>39</v>
      </c>
      <c r="D18" s="1">
        <v>3000</v>
      </c>
    </row>
    <row r="19" spans="2:11" x14ac:dyDescent="0.25">
      <c r="C19" t="s">
        <v>40</v>
      </c>
      <c r="D19" s="1">
        <v>500</v>
      </c>
    </row>
    <row r="20" spans="2:11" x14ac:dyDescent="0.25">
      <c r="C20" t="s">
        <v>41</v>
      </c>
      <c r="D20" s="1">
        <v>1000</v>
      </c>
    </row>
    <row r="21" spans="2:11" x14ac:dyDescent="0.25">
      <c r="C21" t="s">
        <v>42</v>
      </c>
      <c r="D21" s="1">
        <v>1000</v>
      </c>
    </row>
    <row r="22" spans="2:11" x14ac:dyDescent="0.25">
      <c r="D22" s="1">
        <f>SUM(D17:D21)</f>
        <v>227837.5</v>
      </c>
      <c r="I22" s="1">
        <f>I17+SUM(D18:D21)</f>
        <v>176500</v>
      </c>
      <c r="J22" s="1"/>
      <c r="K22" s="15">
        <f>J17/D22</f>
        <v>-0.22532506720798814</v>
      </c>
    </row>
  </sheetData>
  <mergeCells count="4">
    <mergeCell ref="A1:K1"/>
    <mergeCell ref="A4:D4"/>
    <mergeCell ref="F4:I4"/>
    <mergeCell ref="B2:K2"/>
  </mergeCells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E4" sqref="E4"/>
    </sheetView>
  </sheetViews>
  <sheetFormatPr defaultRowHeight="15" x14ac:dyDescent="0.25"/>
  <cols>
    <col min="1" max="1" width="8.85546875" style="6" customWidth="1"/>
    <col min="2" max="2" width="10.5703125" style="6" customWidth="1"/>
    <col min="3" max="3" width="12" style="6" customWidth="1"/>
    <col min="4" max="4" width="3.140625" style="6" customWidth="1"/>
    <col min="5" max="5" width="7.28515625" style="6" customWidth="1"/>
    <col min="6" max="6" width="8.140625" style="6" customWidth="1"/>
    <col min="7" max="7" width="2.85546875" style="6" customWidth="1"/>
    <col min="8" max="8" width="5.42578125" style="6" customWidth="1"/>
    <col min="9" max="9" width="3" style="6" customWidth="1"/>
    <col min="10" max="10" width="4.28515625" style="6" customWidth="1"/>
    <col min="11" max="11" width="8.140625" style="6" customWidth="1"/>
    <col min="12" max="13" width="9.140625" style="6" customWidth="1"/>
    <col min="14" max="14" width="5.28515625" style="6" customWidth="1"/>
    <col min="15" max="15" width="9.28515625" style="6" customWidth="1"/>
    <col min="16" max="16" width="9" style="6" customWidth="1"/>
    <col min="17" max="17" width="8.140625" style="6" customWidth="1"/>
    <col min="18" max="19" width="7.5703125" style="6" customWidth="1"/>
    <col min="20" max="20" width="3.42578125" style="6" customWidth="1"/>
    <col min="21" max="21" width="9.140625" style="6"/>
    <col min="22" max="22" width="6.140625" style="6" customWidth="1"/>
    <col min="23" max="23" width="5" style="6" customWidth="1"/>
    <col min="24" max="16384" width="9.140625" style="6"/>
  </cols>
  <sheetData>
    <row r="1" spans="1:17" x14ac:dyDescent="0.25">
      <c r="A1" s="1">
        <f>Sheet1!A1</f>
        <v>15500</v>
      </c>
      <c r="B1" s="1" t="str">
        <f>Sheet1!B1</f>
        <v>salary</v>
      </c>
    </row>
    <row r="2" spans="1:17" x14ac:dyDescent="0.25">
      <c r="A2" s="1">
        <f>Sheet1!A2</f>
        <v>3500</v>
      </c>
      <c r="B2" s="1" t="str">
        <f>Sheet1!B2</f>
        <v>flex</v>
      </c>
    </row>
    <row r="3" spans="1:17" x14ac:dyDescent="0.25">
      <c r="A3" s="1">
        <f>Sheet1!A3</f>
        <v>1162.5</v>
      </c>
      <c r="B3" s="1" t="str">
        <f>Sheet1!B3</f>
        <v>retirement</v>
      </c>
      <c r="E3" s="2">
        <f>Sheet1!E3</f>
        <v>7.4999999999999997E-2</v>
      </c>
    </row>
    <row r="4" spans="1:17" ht="17.25" x14ac:dyDescent="0.4">
      <c r="A4" s="9">
        <f>SUM(A1:A3)</f>
        <v>20162.5</v>
      </c>
      <c r="B4" s="1" t="str">
        <f>Sheet1!B4</f>
        <v>total compensation</v>
      </c>
      <c r="M4" s="6">
        <v>11</v>
      </c>
      <c r="N4" s="6" t="s">
        <v>15</v>
      </c>
      <c r="P4" s="4">
        <f>A4*M4</f>
        <v>221787.5</v>
      </c>
    </row>
    <row r="6" spans="1:17" x14ac:dyDescent="0.25">
      <c r="A6" s="1"/>
    </row>
    <row r="7" spans="1:17" x14ac:dyDescent="0.25">
      <c r="A7" s="1">
        <f>-(A4*B7)</f>
        <v>-1008.125</v>
      </c>
      <c r="B7" s="5">
        <v>0.05</v>
      </c>
      <c r="C7" s="6" t="s">
        <v>3</v>
      </c>
    </row>
    <row r="8" spans="1:17" x14ac:dyDescent="0.25">
      <c r="A8" s="10">
        <f>A4+A7</f>
        <v>19154.375</v>
      </c>
      <c r="B8" s="6" t="s">
        <v>11</v>
      </c>
    </row>
    <row r="10" spans="1:17" x14ac:dyDescent="0.25">
      <c r="A10" s="1">
        <f>-(A1*C10)</f>
        <v>-1550</v>
      </c>
      <c r="B10" s="6" t="s">
        <v>19</v>
      </c>
      <c r="C10" s="5">
        <v>0.1</v>
      </c>
      <c r="D10" s="6" t="s">
        <v>20</v>
      </c>
    </row>
    <row r="11" spans="1:17" x14ac:dyDescent="0.25">
      <c r="A11" s="1">
        <f>A2+A10</f>
        <v>1950</v>
      </c>
      <c r="B11" s="6" t="s">
        <v>21</v>
      </c>
      <c r="C11" s="5"/>
    </row>
    <row r="13" spans="1:17" x14ac:dyDescent="0.25">
      <c r="A13" s="1">
        <f>A1</f>
        <v>15500</v>
      </c>
      <c r="B13" s="6" t="str">
        <f>B1</f>
        <v>salary</v>
      </c>
    </row>
    <row r="14" spans="1:17" x14ac:dyDescent="0.25">
      <c r="A14" s="1">
        <v>2000</v>
      </c>
      <c r="B14" s="1" t="str">
        <f>B2</f>
        <v>flex</v>
      </c>
    </row>
    <row r="15" spans="1:17" x14ac:dyDescent="0.25">
      <c r="A15" s="1">
        <f>A3</f>
        <v>1162.5</v>
      </c>
      <c r="B15" s="6" t="s">
        <v>2</v>
      </c>
      <c r="C15" s="5"/>
      <c r="E15" s="5"/>
      <c r="F15" s="1"/>
      <c r="G15" s="1"/>
      <c r="H15" s="8"/>
      <c r="J15" s="5"/>
      <c r="K15" s="3"/>
    </row>
    <row r="16" spans="1:17" ht="17.25" x14ac:dyDescent="0.4">
      <c r="A16" s="9">
        <f>SUM(A13:A15)</f>
        <v>18662.5</v>
      </c>
      <c r="B16" s="3">
        <f>-A16+A8</f>
        <v>491.875</v>
      </c>
      <c r="C16" s="6" t="s">
        <v>9</v>
      </c>
      <c r="F16" s="2">
        <f>-((A4-A16)/A4)</f>
        <v>-7.4395536267823928E-2</v>
      </c>
      <c r="M16" s="6">
        <v>9</v>
      </c>
      <c r="N16" s="6" t="s">
        <v>15</v>
      </c>
      <c r="P16" s="4">
        <f>A16*M16</f>
        <v>167962.5</v>
      </c>
      <c r="Q16" s="2">
        <f>-((P4-P16)/P4)</f>
        <v>-0.24268725694640139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I8" sqref="I8"/>
    </sheetView>
  </sheetViews>
  <sheetFormatPr defaultRowHeight="15" x14ac:dyDescent="0.25"/>
  <cols>
    <col min="1" max="1" width="2.140625" style="6" customWidth="1"/>
    <col min="2" max="2" width="8.28515625" style="6" customWidth="1"/>
    <col min="3" max="3" width="17.140625" style="6" customWidth="1"/>
    <col min="4" max="4" width="11.28515625" style="6" customWidth="1"/>
    <col min="5" max="5" width="7.85546875" style="6" customWidth="1"/>
    <col min="6" max="6" width="2.140625" style="6" customWidth="1"/>
    <col min="7" max="7" width="9.28515625" style="6" customWidth="1"/>
    <col min="8" max="8" width="15.85546875" style="6" customWidth="1"/>
    <col min="9" max="9" width="11.42578125" style="6" customWidth="1"/>
    <col min="10" max="10" width="9.7109375" style="6" customWidth="1"/>
    <col min="11" max="11" width="6.7109375" style="6" customWidth="1"/>
    <col min="12" max="16384" width="9.140625" style="6"/>
  </cols>
  <sheetData>
    <row r="1" spans="1:11" ht="23.25" x14ac:dyDescent="0.3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3.25" x14ac:dyDescent="0.35">
      <c r="B2" s="25" t="s">
        <v>32</v>
      </c>
      <c r="C2" s="25"/>
      <c r="D2" s="25"/>
      <c r="E2" s="25"/>
      <c r="F2" s="25"/>
      <c r="G2" s="25"/>
      <c r="H2" s="25"/>
      <c r="I2" s="25"/>
      <c r="J2" s="25"/>
      <c r="K2" s="25"/>
    </row>
    <row r="4" spans="1:11" ht="21" x14ac:dyDescent="0.35">
      <c r="A4" s="26" t="s">
        <v>26</v>
      </c>
      <c r="B4" s="26"/>
      <c r="C4" s="26"/>
      <c r="D4" s="26"/>
      <c r="F4" s="26" t="s">
        <v>34</v>
      </c>
      <c r="G4" s="26"/>
      <c r="H4" s="26"/>
      <c r="I4" s="26"/>
    </row>
    <row r="6" spans="1:11" ht="21" x14ac:dyDescent="0.45">
      <c r="A6" s="18" t="s">
        <v>27</v>
      </c>
      <c r="D6" s="16">
        <f>SUM(D7:D8)</f>
        <v>16662.5</v>
      </c>
      <c r="F6" s="18" t="str">
        <f>A6</f>
        <v>Statutory Compensation</v>
      </c>
      <c r="I6" s="16">
        <f>SUM(I7:I8)</f>
        <v>16000</v>
      </c>
      <c r="J6" s="1">
        <f>I6-D6</f>
        <v>-662.5</v>
      </c>
      <c r="K6" s="15">
        <f>J6/D6</f>
        <v>-3.9759939984996252E-2</v>
      </c>
    </row>
    <row r="7" spans="1:11" x14ac:dyDescent="0.25">
      <c r="B7" s="6" t="s">
        <v>28</v>
      </c>
      <c r="D7" s="1">
        <f>'Stipends+Flex'!A1</f>
        <v>15500</v>
      </c>
      <c r="G7" s="6" t="str">
        <f>B7</f>
        <v>Salary</v>
      </c>
      <c r="I7" s="1">
        <f>'Stipends+Flex'!A14+500</f>
        <v>16000</v>
      </c>
      <c r="J7" s="1"/>
      <c r="K7" s="15"/>
    </row>
    <row r="8" spans="1:11" x14ac:dyDescent="0.25">
      <c r="B8" s="6" t="s">
        <v>37</v>
      </c>
      <c r="C8" s="6" t="s">
        <v>31</v>
      </c>
      <c r="D8" s="14">
        <f>'Stipends+Flex'!A2</f>
        <v>1162.5</v>
      </c>
      <c r="I8" s="1"/>
      <c r="J8" s="1"/>
      <c r="K8" s="15"/>
    </row>
    <row r="10" spans="1:11" ht="21" x14ac:dyDescent="0.45">
      <c r="A10" s="18" t="s">
        <v>38</v>
      </c>
      <c r="D10" s="16">
        <f>'Stipends+Flex'!A5</f>
        <v>3550</v>
      </c>
      <c r="F10" s="18" t="str">
        <f>A10</f>
        <v>Optional Benefits</v>
      </c>
      <c r="I10" s="16">
        <f>SUM(I11:I12)</f>
        <v>3000</v>
      </c>
      <c r="J10" s="1">
        <f>I10-D10</f>
        <v>-550</v>
      </c>
      <c r="K10" s="15">
        <f>J10/D10</f>
        <v>-0.15492957746478872</v>
      </c>
    </row>
    <row r="11" spans="1:11" x14ac:dyDescent="0.25">
      <c r="B11" s="6" t="s">
        <v>29</v>
      </c>
      <c r="D11" s="1">
        <f>D10</f>
        <v>3550</v>
      </c>
      <c r="G11" s="6" t="str">
        <f>B11</f>
        <v>Flex Account</v>
      </c>
      <c r="I11" s="1">
        <f>D11-550</f>
        <v>3000</v>
      </c>
      <c r="J11" s="1"/>
      <c r="K11" s="15"/>
    </row>
    <row r="12" spans="1:11" x14ac:dyDescent="0.25">
      <c r="G12" s="6" t="s">
        <v>43</v>
      </c>
      <c r="H12" s="1"/>
      <c r="I12" s="10"/>
      <c r="K12" s="8"/>
    </row>
    <row r="13" spans="1:11" x14ac:dyDescent="0.25">
      <c r="G13" s="6" t="s">
        <v>35</v>
      </c>
    </row>
    <row r="15" spans="1:11" ht="21" x14ac:dyDescent="0.45">
      <c r="A15" s="19" t="s">
        <v>30</v>
      </c>
      <c r="D15" s="17">
        <f>D6+D10</f>
        <v>20212.5</v>
      </c>
      <c r="I15" s="17">
        <f>I6+I10</f>
        <v>19000</v>
      </c>
      <c r="J15" s="1">
        <f>I15-D15</f>
        <v>-1212.5</v>
      </c>
      <c r="K15" s="15">
        <f>J15/D15</f>
        <v>-5.9987631416202843E-2</v>
      </c>
    </row>
    <row r="16" spans="1:11" ht="45.75" customHeight="1" x14ac:dyDescent="0.25">
      <c r="G16" s="20"/>
      <c r="H16" s="20"/>
      <c r="I16" s="20"/>
      <c r="J16" s="20"/>
      <c r="K16" s="20"/>
    </row>
    <row r="17" spans="2:11" x14ac:dyDescent="0.25">
      <c r="B17" s="6">
        <v>11</v>
      </c>
      <c r="C17" s="6" t="s">
        <v>36</v>
      </c>
      <c r="D17" s="1">
        <f>D15*B17</f>
        <v>222337.5</v>
      </c>
      <c r="G17" s="6">
        <v>9</v>
      </c>
      <c r="H17" s="6" t="str">
        <f>C17</f>
        <v>Commissioners</v>
      </c>
      <c r="I17" s="1">
        <f>I15*G17</f>
        <v>171000</v>
      </c>
      <c r="J17" s="1">
        <f>I17-D17</f>
        <v>-51337.5</v>
      </c>
      <c r="K17" s="15">
        <f>J17/D17</f>
        <v>-0.23089897115871141</v>
      </c>
    </row>
    <row r="18" spans="2:11" x14ac:dyDescent="0.25">
      <c r="C18" s="6" t="s">
        <v>39</v>
      </c>
      <c r="D18" s="1">
        <v>3000</v>
      </c>
    </row>
    <row r="19" spans="2:11" x14ac:dyDescent="0.25">
      <c r="C19" s="6" t="s">
        <v>40</v>
      </c>
      <c r="D19" s="1">
        <v>500</v>
      </c>
    </row>
    <row r="20" spans="2:11" x14ac:dyDescent="0.25">
      <c r="C20" s="6" t="s">
        <v>41</v>
      </c>
      <c r="D20" s="1">
        <v>1000</v>
      </c>
    </row>
    <row r="21" spans="2:11" x14ac:dyDescent="0.25">
      <c r="C21" s="6" t="s">
        <v>42</v>
      </c>
      <c r="D21" s="1">
        <v>1000</v>
      </c>
    </row>
    <row r="22" spans="2:11" x14ac:dyDescent="0.25">
      <c r="D22" s="1">
        <f>SUM(D17:D21)</f>
        <v>227837.5</v>
      </c>
      <c r="I22" s="1">
        <f>I17+SUM(D18:D21)</f>
        <v>176500</v>
      </c>
      <c r="J22" s="1"/>
      <c r="K22" s="15">
        <f>J17/D22</f>
        <v>-0.22532506720798814</v>
      </c>
    </row>
  </sheetData>
  <mergeCells count="4">
    <mergeCell ref="A1:K1"/>
    <mergeCell ref="B2:K2"/>
    <mergeCell ref="A4:D4"/>
    <mergeCell ref="F4:I4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G8" sqref="G8"/>
    </sheetView>
  </sheetViews>
  <sheetFormatPr defaultRowHeight="15" x14ac:dyDescent="0.25"/>
  <cols>
    <col min="1" max="1" width="2.140625" style="6" customWidth="1"/>
    <col min="2" max="2" width="10.85546875" style="6" customWidth="1"/>
    <col min="3" max="3" width="17.140625" style="6" customWidth="1"/>
    <col min="4" max="4" width="11.28515625" style="6" customWidth="1"/>
    <col min="5" max="5" width="7.85546875" style="6" customWidth="1"/>
    <col min="6" max="6" width="2.140625" style="6" customWidth="1"/>
    <col min="7" max="7" width="10" style="6" customWidth="1"/>
    <col min="8" max="8" width="15.85546875" style="6" customWidth="1"/>
    <col min="9" max="9" width="11.42578125" style="6" customWidth="1"/>
    <col min="10" max="10" width="9.7109375" style="6" customWidth="1"/>
    <col min="11" max="11" width="6.7109375" style="6" customWidth="1"/>
    <col min="12" max="16384" width="9.140625" style="6"/>
  </cols>
  <sheetData>
    <row r="1" spans="1:11" ht="23.25" x14ac:dyDescent="0.3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3.25" x14ac:dyDescent="0.35">
      <c r="B2" s="25" t="s">
        <v>32</v>
      </c>
      <c r="C2" s="25"/>
      <c r="D2" s="25"/>
      <c r="E2" s="25"/>
      <c r="F2" s="25"/>
      <c r="G2" s="25"/>
      <c r="H2" s="25"/>
      <c r="I2" s="25"/>
      <c r="J2" s="25"/>
      <c r="K2" s="25"/>
    </row>
    <row r="4" spans="1:11" ht="21" x14ac:dyDescent="0.35">
      <c r="A4" s="26" t="s">
        <v>26</v>
      </c>
      <c r="B4" s="26"/>
      <c r="C4" s="26"/>
      <c r="D4" s="26"/>
      <c r="F4" s="26" t="s">
        <v>34</v>
      </c>
      <c r="G4" s="26"/>
      <c r="H4" s="26"/>
      <c r="I4" s="26"/>
    </row>
    <row r="6" spans="1:11" ht="18.75" x14ac:dyDescent="0.3">
      <c r="B6" s="19" t="s">
        <v>28</v>
      </c>
      <c r="D6" s="21">
        <f>'Stipends+Flex'!A1</f>
        <v>15500</v>
      </c>
      <c r="G6" s="19" t="str">
        <f>B6</f>
        <v>Salary</v>
      </c>
      <c r="I6" s="21">
        <f>D6</f>
        <v>15500</v>
      </c>
      <c r="J6" s="1"/>
      <c r="K6" s="15"/>
    </row>
    <row r="7" spans="1:11" ht="18.75" x14ac:dyDescent="0.3">
      <c r="B7" s="19" t="s">
        <v>37</v>
      </c>
      <c r="C7" s="6" t="s">
        <v>31</v>
      </c>
      <c r="D7" s="22">
        <f>'Stipends+Flex'!A2</f>
        <v>1162.5</v>
      </c>
      <c r="G7" s="19" t="str">
        <f>B7</f>
        <v xml:space="preserve">Pension </v>
      </c>
      <c r="I7" s="21">
        <f>D7</f>
        <v>1162.5</v>
      </c>
      <c r="J7" s="1"/>
      <c r="K7" s="15"/>
    </row>
    <row r="8" spans="1:11" ht="18.75" x14ac:dyDescent="0.3">
      <c r="B8" s="19" t="s">
        <v>29</v>
      </c>
      <c r="D8" s="21">
        <f>'Stipends+Flex'!A5</f>
        <v>3550</v>
      </c>
      <c r="G8" s="19" t="str">
        <f>B8</f>
        <v>Flex Account</v>
      </c>
      <c r="I8" s="21">
        <f>D8-1050</f>
        <v>2500</v>
      </c>
      <c r="J8" s="1">
        <f>I8-D8</f>
        <v>-1050</v>
      </c>
      <c r="K8" s="15">
        <f>J8/D8</f>
        <v>-0.29577464788732394</v>
      </c>
    </row>
    <row r="9" spans="1:11" x14ac:dyDescent="0.25">
      <c r="G9" s="6" t="s">
        <v>43</v>
      </c>
      <c r="H9" s="1"/>
      <c r="I9" s="10"/>
      <c r="K9" s="8"/>
    </row>
    <row r="10" spans="1:11" x14ac:dyDescent="0.25">
      <c r="G10" s="6" t="s">
        <v>35</v>
      </c>
    </row>
    <row r="12" spans="1:11" ht="21" x14ac:dyDescent="0.45">
      <c r="B12" s="19" t="s">
        <v>30</v>
      </c>
      <c r="D12" s="17">
        <f>D6+D7+D8</f>
        <v>20212.5</v>
      </c>
      <c r="I12" s="17">
        <f>I6+I7+I8</f>
        <v>19162.5</v>
      </c>
      <c r="J12" s="1">
        <f>I12-D12</f>
        <v>-1050</v>
      </c>
      <c r="K12" s="15">
        <f>J12/D12</f>
        <v>-5.1948051948051951E-2</v>
      </c>
    </row>
    <row r="13" spans="1:11" ht="45.75" customHeight="1" x14ac:dyDescent="0.25">
      <c r="G13" s="20"/>
      <c r="H13" s="20"/>
      <c r="I13" s="20"/>
      <c r="J13" s="20"/>
      <c r="K13" s="20"/>
    </row>
    <row r="14" spans="1:11" x14ac:dyDescent="0.25">
      <c r="B14" s="6">
        <v>11</v>
      </c>
      <c r="C14" s="6" t="s">
        <v>36</v>
      </c>
      <c r="D14" s="1">
        <f>D12*B14</f>
        <v>222337.5</v>
      </c>
      <c r="G14" s="6">
        <v>9</v>
      </c>
      <c r="H14" s="6" t="str">
        <f>C14</f>
        <v>Commissioners</v>
      </c>
      <c r="I14" s="1">
        <f>I12*G14</f>
        <v>172462.5</v>
      </c>
      <c r="J14" s="1">
        <f>I14-D14</f>
        <v>-49875</v>
      </c>
      <c r="K14" s="15">
        <f>J14/D14</f>
        <v>-0.22432113341204249</v>
      </c>
    </row>
    <row r="15" spans="1:11" x14ac:dyDescent="0.25">
      <c r="C15" s="6" t="s">
        <v>39</v>
      </c>
      <c r="D15" s="1">
        <v>3000</v>
      </c>
    </row>
    <row r="16" spans="1:11" x14ac:dyDescent="0.25">
      <c r="C16" s="6" t="s">
        <v>40</v>
      </c>
      <c r="D16" s="1">
        <v>500</v>
      </c>
    </row>
    <row r="17" spans="3:11" x14ac:dyDescent="0.25">
      <c r="C17" s="6" t="s">
        <v>41</v>
      </c>
      <c r="D17" s="1">
        <v>1000</v>
      </c>
    </row>
    <row r="18" spans="3:11" x14ac:dyDescent="0.25">
      <c r="C18" s="6" t="s">
        <v>42</v>
      </c>
      <c r="D18" s="1">
        <v>1000</v>
      </c>
    </row>
    <row r="19" spans="3:11" x14ac:dyDescent="0.25">
      <c r="D19" s="1">
        <f>SUM(D14:D18)</f>
        <v>227837.5</v>
      </c>
      <c r="I19" s="1">
        <f>I14+SUM(D15:D18)</f>
        <v>177962.5</v>
      </c>
      <c r="J19" s="1"/>
      <c r="K19" s="15">
        <f>J14/D19</f>
        <v>-0.21890601854391836</v>
      </c>
    </row>
  </sheetData>
  <mergeCells count="4">
    <mergeCell ref="A1:K1"/>
    <mergeCell ref="B2:K2"/>
    <mergeCell ref="A4:D4"/>
    <mergeCell ref="F4:I4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4" sqref="M4"/>
    </sheetView>
  </sheetViews>
  <sheetFormatPr defaultRowHeight="15" x14ac:dyDescent="0.25"/>
  <cols>
    <col min="1" max="1" width="2.140625" style="6" customWidth="1"/>
    <col min="2" max="2" width="11" style="6" customWidth="1"/>
    <col min="3" max="3" width="8.5703125" style="6" customWidth="1"/>
    <col min="4" max="4" width="6.140625" style="6" customWidth="1"/>
    <col min="5" max="5" width="11.28515625" style="6" customWidth="1"/>
    <col min="6" max="6" width="6.5703125" style="6" customWidth="1"/>
    <col min="7" max="7" width="4" style="6" customWidth="1"/>
    <col min="8" max="8" width="8.140625" style="6" customWidth="1"/>
    <col min="9" max="9" width="14.85546875" style="6" customWidth="1"/>
    <col min="10" max="10" width="11.42578125" style="6" customWidth="1"/>
    <col min="11" max="11" width="9.42578125" style="6" customWidth="1"/>
    <col min="12" max="12" width="6.7109375" style="6" customWidth="1"/>
    <col min="13" max="16384" width="9.140625" style="6"/>
  </cols>
  <sheetData>
    <row r="1" spans="1:12" ht="23.25" x14ac:dyDescent="0.3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3.25" x14ac:dyDescent="0.35">
      <c r="B2" s="25" t="s">
        <v>32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12" ht="21" x14ac:dyDescent="0.35">
      <c r="A4" s="26" t="s">
        <v>26</v>
      </c>
      <c r="B4" s="26"/>
      <c r="C4" s="26"/>
      <c r="D4" s="26"/>
      <c r="E4" s="26"/>
      <c r="G4" s="26" t="s">
        <v>34</v>
      </c>
      <c r="H4" s="26"/>
      <c r="I4" s="26"/>
      <c r="J4" s="26"/>
    </row>
    <row r="6" spans="1:12" ht="18.75" x14ac:dyDescent="0.3">
      <c r="B6" s="19" t="s">
        <v>28</v>
      </c>
      <c r="C6" s="19"/>
      <c r="E6" s="21">
        <f>'Stipends+Flex'!A1</f>
        <v>15500</v>
      </c>
      <c r="H6" s="19" t="str">
        <f>B6</f>
        <v>Salary</v>
      </c>
      <c r="J6" s="21">
        <f>E6</f>
        <v>15500</v>
      </c>
      <c r="K6" s="1">
        <f>J6-E6</f>
        <v>0</v>
      </c>
      <c r="L6" s="15"/>
    </row>
    <row r="7" spans="1:12" ht="18.75" x14ac:dyDescent="0.3">
      <c r="B7" s="19" t="s">
        <v>44</v>
      </c>
      <c r="C7" s="19"/>
      <c r="D7" s="24">
        <f>'Stipends+Flex'!E2</f>
        <v>7.4999999999999997E-2</v>
      </c>
      <c r="E7" s="22">
        <f>'Stipends+Flex'!A2</f>
        <v>1162.5</v>
      </c>
      <c r="H7" s="23" t="s">
        <v>45</v>
      </c>
      <c r="J7" s="21">
        <v>0</v>
      </c>
      <c r="K7" s="1">
        <f>J7-E7</f>
        <v>-1162.5</v>
      </c>
      <c r="L7" s="15"/>
    </row>
    <row r="8" spans="1:12" ht="18.75" x14ac:dyDescent="0.3">
      <c r="B8" s="19" t="s">
        <v>29</v>
      </c>
      <c r="C8" s="19"/>
      <c r="E8" s="21">
        <f>'Stipends+Flex'!A5</f>
        <v>3550</v>
      </c>
      <c r="H8" s="19" t="str">
        <f>B8</f>
        <v>Flex Account</v>
      </c>
      <c r="J8" s="21">
        <f>E8</f>
        <v>3550</v>
      </c>
      <c r="K8" s="1">
        <f>J8-E8</f>
        <v>0</v>
      </c>
      <c r="L8" s="15"/>
    </row>
    <row r="9" spans="1:12" x14ac:dyDescent="0.25">
      <c r="H9" s="6" t="s">
        <v>43</v>
      </c>
      <c r="I9" s="1"/>
      <c r="J9" s="10"/>
      <c r="L9" s="8"/>
    </row>
    <row r="10" spans="1:12" x14ac:dyDescent="0.25">
      <c r="H10" s="6" t="s">
        <v>35</v>
      </c>
    </row>
    <row r="12" spans="1:12" ht="21" x14ac:dyDescent="0.45">
      <c r="B12" s="19" t="s">
        <v>30</v>
      </c>
      <c r="C12" s="19"/>
      <c r="E12" s="17">
        <f>E6+E7+E8</f>
        <v>20212.5</v>
      </c>
      <c r="J12" s="17">
        <f>J6+J7+J8</f>
        <v>19050</v>
      </c>
      <c r="K12" s="1">
        <f>J12-E12</f>
        <v>-1162.5</v>
      </c>
      <c r="L12" s="15">
        <f>K12/E12</f>
        <v>-5.7513914656771803E-2</v>
      </c>
    </row>
    <row r="13" spans="1:12" ht="45.75" customHeight="1" x14ac:dyDescent="0.25">
      <c r="H13" s="20"/>
      <c r="I13" s="20"/>
      <c r="J13" s="20"/>
      <c r="K13" s="20"/>
      <c r="L13" s="20"/>
    </row>
    <row r="14" spans="1:12" x14ac:dyDescent="0.25">
      <c r="C14" s="27"/>
      <c r="D14" s="27"/>
      <c r="E14" s="1"/>
      <c r="J14" s="1"/>
      <c r="K14" s="1"/>
      <c r="L14" s="15"/>
    </row>
    <row r="15" spans="1:12" x14ac:dyDescent="0.25">
      <c r="C15" s="27"/>
      <c r="D15" s="27"/>
      <c r="E15" s="1"/>
    </row>
    <row r="16" spans="1:12" x14ac:dyDescent="0.25">
      <c r="C16" s="27"/>
      <c r="D16" s="27"/>
      <c r="E16" s="1"/>
    </row>
    <row r="17" spans="3:12" x14ac:dyDescent="0.25">
      <c r="C17" s="27"/>
      <c r="D17" s="27"/>
      <c r="E17" s="1"/>
    </row>
    <row r="18" spans="3:12" x14ac:dyDescent="0.25">
      <c r="C18" s="27"/>
      <c r="D18" s="27"/>
      <c r="E18" s="1"/>
    </row>
    <row r="19" spans="3:12" x14ac:dyDescent="0.25">
      <c r="E19" s="1"/>
      <c r="J19" s="1"/>
      <c r="K19" s="1"/>
      <c r="L19" s="15"/>
    </row>
  </sheetData>
  <mergeCells count="9">
    <mergeCell ref="C15:D15"/>
    <mergeCell ref="C16:D16"/>
    <mergeCell ref="C17:D17"/>
    <mergeCell ref="C18:D18"/>
    <mergeCell ref="A1:L1"/>
    <mergeCell ref="B2:L2"/>
    <mergeCell ref="A4:E4"/>
    <mergeCell ref="G4:J4"/>
    <mergeCell ref="C14:D14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H13" sqref="H13"/>
    </sheetView>
  </sheetViews>
  <sheetFormatPr defaultRowHeight="15" x14ac:dyDescent="0.25"/>
  <cols>
    <col min="1" max="1" width="2.140625" style="6" customWidth="1"/>
    <col min="2" max="2" width="11" style="6" customWidth="1"/>
    <col min="3" max="3" width="8.5703125" style="6" customWidth="1"/>
    <col min="4" max="4" width="6.140625" style="6" customWidth="1"/>
    <col min="5" max="5" width="11.28515625" style="6" customWidth="1"/>
    <col min="6" max="7" width="6.140625" style="6" customWidth="1"/>
    <col min="8" max="8" width="8.140625" style="6" customWidth="1"/>
    <col min="9" max="9" width="14.85546875" style="6" customWidth="1"/>
    <col min="10" max="10" width="11.42578125" style="6" customWidth="1"/>
    <col min="11" max="11" width="8.85546875" style="6" customWidth="1"/>
    <col min="12" max="12" width="6.7109375" style="6" customWidth="1"/>
    <col min="13" max="13" width="3" style="6" customWidth="1"/>
    <col min="14" max="14" width="8.28515625" style="6" customWidth="1"/>
    <col min="15" max="15" width="5.85546875" style="6" customWidth="1"/>
    <col min="16" max="16384" width="9.140625" style="6"/>
  </cols>
  <sheetData>
    <row r="1" spans="1:15" ht="23.25" x14ac:dyDescent="0.3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5" ht="23.25" x14ac:dyDescent="0.35">
      <c r="B2" s="25" t="s">
        <v>32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15" ht="21" x14ac:dyDescent="0.35">
      <c r="A4" s="26" t="s">
        <v>26</v>
      </c>
      <c r="B4" s="26"/>
      <c r="C4" s="26"/>
      <c r="D4" s="26"/>
      <c r="E4" s="26"/>
      <c r="G4" s="26" t="s">
        <v>34</v>
      </c>
      <c r="H4" s="26"/>
      <c r="I4" s="26"/>
      <c r="J4" s="26"/>
    </row>
    <row r="5" spans="1:15" x14ac:dyDescent="0.25">
      <c r="N5" s="6" t="s">
        <v>47</v>
      </c>
    </row>
    <row r="6" spans="1:15" ht="18.75" x14ac:dyDescent="0.3">
      <c r="B6" s="19" t="s">
        <v>28</v>
      </c>
      <c r="C6" s="19"/>
      <c r="E6" s="21">
        <f>'Stipends+Flex'!A1</f>
        <v>15500</v>
      </c>
      <c r="H6" s="19" t="str">
        <f>B6</f>
        <v>Salary</v>
      </c>
      <c r="J6" s="21">
        <f>E6+300</f>
        <v>15800</v>
      </c>
      <c r="K6" s="1">
        <f>J6-E6</f>
        <v>300</v>
      </c>
      <c r="L6" s="15">
        <f>K6/E6</f>
        <v>1.935483870967742E-2</v>
      </c>
      <c r="N6" s="1">
        <f>J6-J7</f>
        <v>15225</v>
      </c>
      <c r="O6" s="15">
        <f>-(E6-N6)/E6</f>
        <v>-1.7741935483870968E-2</v>
      </c>
    </row>
    <row r="7" spans="1:15" ht="18.75" x14ac:dyDescent="0.3">
      <c r="B7" s="19" t="s">
        <v>44</v>
      </c>
      <c r="C7" s="19"/>
      <c r="D7" s="24">
        <f>'Stipends+Flex'!E2</f>
        <v>7.4999999999999997E-2</v>
      </c>
      <c r="E7" s="22">
        <f>'Stipends+Flex'!A2</f>
        <v>1162.5</v>
      </c>
      <c r="H7" s="23" t="s">
        <v>46</v>
      </c>
      <c r="J7" s="21">
        <v>575</v>
      </c>
      <c r="K7" s="1">
        <f>J7-E7</f>
        <v>-587.5</v>
      </c>
      <c r="L7" s="15">
        <f>K7/E7</f>
        <v>-0.5053763440860215</v>
      </c>
      <c r="N7" s="1">
        <f>J7*2</f>
        <v>1150</v>
      </c>
      <c r="O7" s="15">
        <f>-(E7-N7)/E7</f>
        <v>-1.0752688172043012E-2</v>
      </c>
    </row>
    <row r="8" spans="1:15" ht="18.75" x14ac:dyDescent="0.3">
      <c r="B8" s="19" t="s">
        <v>29</v>
      </c>
      <c r="C8" s="19"/>
      <c r="E8" s="21">
        <f>'Stipends+Flex'!A5</f>
        <v>3550</v>
      </c>
      <c r="H8" s="19" t="str">
        <f>B8</f>
        <v>Flex Account</v>
      </c>
      <c r="J8" s="21">
        <f>E8-(550+175)</f>
        <v>2825</v>
      </c>
      <c r="K8" s="1">
        <f>J8-E8</f>
        <v>-725</v>
      </c>
      <c r="L8" s="15">
        <f>K8/E8</f>
        <v>-0.20422535211267606</v>
      </c>
      <c r="N8" s="1">
        <f>J8</f>
        <v>2825</v>
      </c>
      <c r="O8" s="15"/>
    </row>
    <row r="9" spans="1:15" x14ac:dyDescent="0.25">
      <c r="H9" s="6" t="s">
        <v>43</v>
      </c>
      <c r="I9" s="1"/>
      <c r="J9" s="10"/>
      <c r="L9" s="8"/>
    </row>
    <row r="10" spans="1:15" x14ac:dyDescent="0.25">
      <c r="H10" s="6" t="s">
        <v>35</v>
      </c>
    </row>
    <row r="12" spans="1:15" ht="21" x14ac:dyDescent="0.45">
      <c r="B12" s="19" t="s">
        <v>30</v>
      </c>
      <c r="C12" s="19"/>
      <c r="E12" s="17">
        <f>E6+E7+E8</f>
        <v>20212.5</v>
      </c>
      <c r="J12" s="17">
        <f>J6+J7+J8</f>
        <v>19200</v>
      </c>
      <c r="K12" s="1">
        <f>J12-E12</f>
        <v>-1012.5</v>
      </c>
      <c r="L12" s="15">
        <f>K12/E12</f>
        <v>-5.0092764378478663E-2</v>
      </c>
      <c r="N12" s="1">
        <f>SUM(N6:N8)</f>
        <v>19200</v>
      </c>
    </row>
    <row r="13" spans="1:15" ht="45.75" customHeight="1" x14ac:dyDescent="0.25">
      <c r="H13" s="20"/>
      <c r="I13" s="20"/>
      <c r="J13" s="20"/>
      <c r="K13" s="20"/>
      <c r="L13" s="20"/>
    </row>
    <row r="14" spans="1:15" x14ac:dyDescent="0.25">
      <c r="C14" s="27"/>
      <c r="D14" s="27"/>
      <c r="E14" s="1"/>
      <c r="J14" s="1"/>
      <c r="K14" s="1"/>
      <c r="L14" s="15"/>
    </row>
    <row r="15" spans="1:15" x14ac:dyDescent="0.25">
      <c r="C15" s="27"/>
      <c r="D15" s="27"/>
      <c r="E15" s="1"/>
    </row>
    <row r="16" spans="1:15" x14ac:dyDescent="0.25">
      <c r="C16" s="27"/>
      <c r="D16" s="27"/>
      <c r="E16" s="1"/>
    </row>
    <row r="17" spans="3:12" x14ac:dyDescent="0.25">
      <c r="C17" s="27"/>
      <c r="D17" s="27"/>
      <c r="E17" s="1"/>
    </row>
    <row r="18" spans="3:12" x14ac:dyDescent="0.25">
      <c r="C18" s="27"/>
      <c r="D18" s="27"/>
      <c r="E18" s="1"/>
    </row>
    <row r="19" spans="3:12" x14ac:dyDescent="0.25">
      <c r="E19" s="1"/>
      <c r="J19" s="1"/>
      <c r="K19" s="1"/>
      <c r="L19" s="15"/>
    </row>
  </sheetData>
  <mergeCells count="9">
    <mergeCell ref="C16:D16"/>
    <mergeCell ref="C17:D17"/>
    <mergeCell ref="C18:D18"/>
    <mergeCell ref="A1:L1"/>
    <mergeCell ref="B2:L2"/>
    <mergeCell ref="A4:E4"/>
    <mergeCell ref="G4:J4"/>
    <mergeCell ref="C14:D14"/>
    <mergeCell ref="C15:D15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14" sqref="A14"/>
    </sheetView>
  </sheetViews>
  <sheetFormatPr defaultRowHeight="15" x14ac:dyDescent="0.25"/>
  <cols>
    <col min="1" max="1" width="9" style="6" customWidth="1"/>
    <col min="2" max="2" width="10.5703125" style="6" customWidth="1"/>
    <col min="3" max="3" width="12" style="6" customWidth="1"/>
    <col min="4" max="4" width="3.140625" style="6" customWidth="1"/>
    <col min="5" max="5" width="7.28515625" style="6" customWidth="1"/>
    <col min="6" max="6" width="8.140625" style="6" customWidth="1"/>
    <col min="7" max="7" width="6" style="6" customWidth="1"/>
    <col min="8" max="8" width="8.42578125" style="6" customWidth="1"/>
    <col min="9" max="9" width="5" style="6" customWidth="1"/>
    <col min="10" max="10" width="5.28515625" style="6" customWidth="1"/>
    <col min="11" max="11" width="9.28515625" style="6" customWidth="1"/>
    <col min="12" max="12" width="9" style="6" customWidth="1"/>
    <col min="13" max="13" width="8.140625" style="6" customWidth="1"/>
    <col min="14" max="15" width="7.5703125" style="6" customWidth="1"/>
    <col min="16" max="16" width="3.42578125" style="6" customWidth="1"/>
    <col min="17" max="17" width="9.140625" style="6"/>
    <col min="18" max="18" width="6.140625" style="6" customWidth="1"/>
    <col min="19" max="19" width="5" style="6" customWidth="1"/>
    <col min="20" max="16384" width="9.140625" style="6"/>
  </cols>
  <sheetData>
    <row r="1" spans="1:13" x14ac:dyDescent="0.25">
      <c r="A1" s="1">
        <v>15500</v>
      </c>
      <c r="B1" s="6" t="s">
        <v>0</v>
      </c>
    </row>
    <row r="2" spans="1:13" x14ac:dyDescent="0.25">
      <c r="A2" s="1">
        <f>A1*E2</f>
        <v>1162.5</v>
      </c>
      <c r="B2" s="6" t="s">
        <v>2</v>
      </c>
      <c r="E2" s="8">
        <v>7.4999999999999997E-2</v>
      </c>
    </row>
    <row r="3" spans="1:13" ht="17.25" x14ac:dyDescent="0.4">
      <c r="A3" s="13">
        <f>SUM(A1:A2)</f>
        <v>16662.5</v>
      </c>
      <c r="B3" s="6" t="s">
        <v>25</v>
      </c>
      <c r="E3" s="8"/>
      <c r="I3" s="6">
        <v>11</v>
      </c>
      <c r="J3" s="6" t="s">
        <v>15</v>
      </c>
      <c r="L3" s="4">
        <f>A3*I3</f>
        <v>183287.5</v>
      </c>
    </row>
    <row r="4" spans="1:13" x14ac:dyDescent="0.25">
      <c r="A4" s="1"/>
      <c r="E4" s="8"/>
    </row>
    <row r="5" spans="1:13" x14ac:dyDescent="0.25">
      <c r="A5" s="1">
        <v>3550</v>
      </c>
      <c r="B5" s="6" t="s">
        <v>1</v>
      </c>
    </row>
    <row r="6" spans="1:13" ht="17.25" x14ac:dyDescent="0.4">
      <c r="A6" s="9">
        <f>SUM(A3:A5)</f>
        <v>20212.5</v>
      </c>
      <c r="B6" s="6" t="s">
        <v>23</v>
      </c>
      <c r="I6" s="6">
        <f>I3</f>
        <v>11</v>
      </c>
      <c r="J6" s="6" t="s">
        <v>15</v>
      </c>
      <c r="L6" s="4">
        <f>A6*I6</f>
        <v>222337.5</v>
      </c>
    </row>
    <row r="8" spans="1:13" x14ac:dyDescent="0.25">
      <c r="A8" s="1"/>
    </row>
    <row r="9" spans="1:13" x14ac:dyDescent="0.25">
      <c r="A9" s="1">
        <f>-(A6*B9)</f>
        <v>-1010.625</v>
      </c>
      <c r="B9" s="5">
        <v>0.05</v>
      </c>
      <c r="C9" s="6" t="s">
        <v>3</v>
      </c>
    </row>
    <row r="10" spans="1:13" x14ac:dyDescent="0.25">
      <c r="A10" s="10">
        <f>A6+A9</f>
        <v>19201.875</v>
      </c>
      <c r="B10" s="6" t="s">
        <v>24</v>
      </c>
    </row>
    <row r="14" spans="1:13" x14ac:dyDescent="0.25">
      <c r="A14" s="1">
        <f>A1</f>
        <v>15500</v>
      </c>
      <c r="B14" s="6" t="str">
        <f>B1</f>
        <v>salary</v>
      </c>
    </row>
    <row r="15" spans="1:13" ht="17.25" x14ac:dyDescent="0.4">
      <c r="A15" s="13">
        <f>A14</f>
        <v>15500</v>
      </c>
      <c r="B15" s="6" t="str">
        <f>B3</f>
        <v>statutory financial impact</v>
      </c>
      <c r="F15" s="8">
        <f>-((A$3-A15)/A$3)</f>
        <v>-6.9767441860465115E-2</v>
      </c>
      <c r="I15" s="6">
        <v>9</v>
      </c>
      <c r="J15" s="6" t="s">
        <v>15</v>
      </c>
      <c r="L15" s="4">
        <f>(A15*I15)</f>
        <v>139500</v>
      </c>
      <c r="M15" s="8">
        <f>-((L3-L15)/L3)</f>
        <v>-0.23890063424947147</v>
      </c>
    </row>
    <row r="16" spans="1:13" x14ac:dyDescent="0.25">
      <c r="A16" s="1"/>
    </row>
    <row r="17" spans="1:13" x14ac:dyDescent="0.25">
      <c r="A17" s="1">
        <v>1000</v>
      </c>
      <c r="B17" s="6" t="str">
        <f>B5</f>
        <v>flex</v>
      </c>
    </row>
    <row r="18" spans="1:13" x14ac:dyDescent="0.25">
      <c r="A18" s="1">
        <f>F18</f>
        <v>0</v>
      </c>
      <c r="B18" s="6" t="str">
        <f>B2</f>
        <v>retirement</v>
      </c>
      <c r="C18" s="5">
        <v>0</v>
      </c>
      <c r="D18" s="6" t="s">
        <v>5</v>
      </c>
      <c r="E18" s="5">
        <v>1</v>
      </c>
      <c r="F18" s="1">
        <f>($A14*C18)*E18</f>
        <v>0</v>
      </c>
      <c r="G18" s="1"/>
    </row>
    <row r="19" spans="1:13" ht="17.25" x14ac:dyDescent="0.4">
      <c r="A19" s="11">
        <f>SUM(A15:A18)</f>
        <v>16500</v>
      </c>
      <c r="B19" s="3"/>
      <c r="F19" s="8"/>
    </row>
    <row r="20" spans="1:13" x14ac:dyDescent="0.25">
      <c r="L20" s="1">
        <v>10150</v>
      </c>
      <c r="M20" s="6" t="s">
        <v>22</v>
      </c>
    </row>
    <row r="21" spans="1:13" ht="17.25" x14ac:dyDescent="0.4">
      <c r="A21" s="9">
        <f>L21/I21</f>
        <v>17627.777777777777</v>
      </c>
      <c r="B21" s="3">
        <f>-A21+A10</f>
        <v>1574.0972222222226</v>
      </c>
      <c r="C21" s="6" t="s">
        <v>9</v>
      </c>
      <c r="F21" s="8">
        <f>-((A$6-A21)/A$6)</f>
        <v>-0.12787741359169932</v>
      </c>
      <c r="I21" s="6">
        <f>I15</f>
        <v>9</v>
      </c>
      <c r="J21" s="6" t="s">
        <v>15</v>
      </c>
      <c r="L21" s="4">
        <f>(A19*I21)+L20</f>
        <v>158650</v>
      </c>
      <c r="M21" s="8">
        <f>-((L6-L21)/L6)</f>
        <v>-0.28644515657502673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18" sqref="A18"/>
    </sheetView>
  </sheetViews>
  <sheetFormatPr defaultRowHeight="15" x14ac:dyDescent="0.25"/>
  <cols>
    <col min="1" max="1" width="9" style="6" customWidth="1"/>
    <col min="2" max="2" width="10.5703125" style="6" customWidth="1"/>
    <col min="3" max="3" width="12" style="6" customWidth="1"/>
    <col min="4" max="4" width="3.140625" style="6" customWidth="1"/>
    <col min="5" max="5" width="7.28515625" style="6" customWidth="1"/>
    <col min="6" max="6" width="8.140625" style="6" customWidth="1"/>
    <col min="7" max="7" width="6" style="6" customWidth="1"/>
    <col min="8" max="8" width="8.42578125" style="6" customWidth="1"/>
    <col min="9" max="9" width="5" style="6" customWidth="1"/>
    <col min="10" max="10" width="5.28515625" style="6" customWidth="1"/>
    <col min="11" max="11" width="9.28515625" style="6" customWidth="1"/>
    <col min="12" max="12" width="9" style="6" customWidth="1"/>
    <col min="13" max="13" width="8.140625" style="6" customWidth="1"/>
    <col min="14" max="15" width="7.5703125" style="6" customWidth="1"/>
    <col min="16" max="16" width="3.42578125" style="6" customWidth="1"/>
    <col min="17" max="17" width="9.140625" style="6"/>
    <col min="18" max="18" width="6.140625" style="6" customWidth="1"/>
    <col min="19" max="19" width="5" style="6" customWidth="1"/>
    <col min="20" max="16384" width="9.140625" style="6"/>
  </cols>
  <sheetData>
    <row r="1" spans="1:13" x14ac:dyDescent="0.25">
      <c r="A1" s="1">
        <v>15500</v>
      </c>
      <c r="B1" s="6" t="s">
        <v>0</v>
      </c>
    </row>
    <row r="2" spans="1:13" x14ac:dyDescent="0.25">
      <c r="A2" s="1">
        <f>A1*E2</f>
        <v>1162.5</v>
      </c>
      <c r="B2" s="6" t="s">
        <v>2</v>
      </c>
      <c r="E2" s="8">
        <v>7.4999999999999997E-2</v>
      </c>
    </row>
    <row r="3" spans="1:13" ht="17.25" x14ac:dyDescent="0.4">
      <c r="A3" s="13">
        <f>SUM(A1:A2)</f>
        <v>16662.5</v>
      </c>
      <c r="B3" s="6" t="s">
        <v>25</v>
      </c>
      <c r="E3" s="8"/>
      <c r="I3" s="6">
        <v>11</v>
      </c>
      <c r="J3" s="6" t="s">
        <v>15</v>
      </c>
      <c r="L3" s="4">
        <f>A3*I3</f>
        <v>183287.5</v>
      </c>
    </row>
    <row r="4" spans="1:13" x14ac:dyDescent="0.25">
      <c r="A4" s="1"/>
      <c r="E4" s="8"/>
    </row>
    <row r="5" spans="1:13" x14ac:dyDescent="0.25">
      <c r="A5" s="1">
        <v>3500</v>
      </c>
      <c r="B5" s="6" t="s">
        <v>1</v>
      </c>
    </row>
    <row r="6" spans="1:13" ht="17.25" x14ac:dyDescent="0.4">
      <c r="A6" s="9">
        <f>SUM(A3:A5)</f>
        <v>20162.5</v>
      </c>
      <c r="B6" s="6" t="s">
        <v>23</v>
      </c>
      <c r="I6" s="6">
        <f>I3</f>
        <v>11</v>
      </c>
      <c r="J6" s="6" t="s">
        <v>15</v>
      </c>
      <c r="L6" s="4">
        <f>A6*I6</f>
        <v>221787.5</v>
      </c>
    </row>
    <row r="8" spans="1:13" x14ac:dyDescent="0.25">
      <c r="A8" s="1"/>
    </row>
    <row r="9" spans="1:13" x14ac:dyDescent="0.25">
      <c r="A9" s="1">
        <f>-(A6*B9)</f>
        <v>-1008.125</v>
      </c>
      <c r="B9" s="5">
        <v>0.05</v>
      </c>
      <c r="C9" s="6" t="s">
        <v>3</v>
      </c>
    </row>
    <row r="10" spans="1:13" x14ac:dyDescent="0.25">
      <c r="A10" s="10">
        <f>A6+A9</f>
        <v>19154.375</v>
      </c>
      <c r="B10" s="6" t="s">
        <v>24</v>
      </c>
    </row>
    <row r="14" spans="1:13" x14ac:dyDescent="0.25">
      <c r="A14" s="1">
        <v>16250</v>
      </c>
      <c r="B14" s="6" t="str">
        <f>B1</f>
        <v>salary</v>
      </c>
    </row>
    <row r="15" spans="1:13" ht="17.25" x14ac:dyDescent="0.4">
      <c r="A15" s="13">
        <f>A14</f>
        <v>16250</v>
      </c>
      <c r="B15" s="6" t="str">
        <f>B3</f>
        <v>statutory financial impact</v>
      </c>
      <c r="F15" s="8">
        <f>-((A$3-A15)/A$3)</f>
        <v>-2.4756189047261814E-2</v>
      </c>
      <c r="I15" s="6">
        <v>9</v>
      </c>
      <c r="J15" s="6" t="s">
        <v>15</v>
      </c>
      <c r="L15" s="4">
        <f>(A15*I15)</f>
        <v>146250</v>
      </c>
      <c r="M15" s="8">
        <f>-((L3-L15)/L3)</f>
        <v>-0.20207324558412329</v>
      </c>
    </row>
    <row r="16" spans="1:13" x14ac:dyDescent="0.25">
      <c r="A16" s="1"/>
    </row>
    <row r="17" spans="1:13" x14ac:dyDescent="0.25">
      <c r="A17" s="1">
        <v>2250</v>
      </c>
      <c r="B17" s="6" t="str">
        <f>B5</f>
        <v>flex</v>
      </c>
    </row>
    <row r="18" spans="1:13" x14ac:dyDescent="0.25">
      <c r="A18" s="1">
        <f>F18</f>
        <v>812.5</v>
      </c>
      <c r="B18" s="6" t="str">
        <f>B2</f>
        <v>retirement</v>
      </c>
      <c r="C18" s="5">
        <v>0.05</v>
      </c>
      <c r="D18" s="6" t="s">
        <v>5</v>
      </c>
      <c r="E18" s="5">
        <v>1</v>
      </c>
      <c r="F18" s="1">
        <f>($A14*C18)*E18</f>
        <v>812.5</v>
      </c>
      <c r="G18" s="1"/>
    </row>
    <row r="19" spans="1:13" ht="17.25" x14ac:dyDescent="0.4">
      <c r="A19" s="11">
        <f>SUM(A15:A18)</f>
        <v>19312.5</v>
      </c>
      <c r="B19" s="3"/>
      <c r="F19" s="8"/>
    </row>
    <row r="20" spans="1:13" x14ac:dyDescent="0.25">
      <c r="L20" s="1">
        <v>0</v>
      </c>
      <c r="M20" s="6" t="s">
        <v>22</v>
      </c>
    </row>
    <row r="21" spans="1:13" ht="17.25" x14ac:dyDescent="0.4">
      <c r="A21" s="9">
        <f>L21/I21</f>
        <v>19312.5</v>
      </c>
      <c r="B21" s="3">
        <f>-A21+A10</f>
        <v>-158.125</v>
      </c>
      <c r="C21" s="6" t="s">
        <v>9</v>
      </c>
      <c r="F21" s="8">
        <f>-((A$6-A21)/A$6)</f>
        <v>-4.2157470551766892E-2</v>
      </c>
      <c r="I21" s="6">
        <f>I15</f>
        <v>9</v>
      </c>
      <c r="J21" s="6" t="s">
        <v>15</v>
      </c>
      <c r="L21" s="4">
        <f>(A19*I21)+L20</f>
        <v>173812.5</v>
      </c>
      <c r="M21" s="8">
        <f>-((L6-L21)/L6)</f>
        <v>-0.21631065772417291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17" sqref="A17"/>
    </sheetView>
  </sheetViews>
  <sheetFormatPr defaultRowHeight="15" x14ac:dyDescent="0.25"/>
  <cols>
    <col min="1" max="1" width="9" style="6" customWidth="1"/>
    <col min="2" max="2" width="10.5703125" style="6" customWidth="1"/>
    <col min="3" max="3" width="12" style="6" customWidth="1"/>
    <col min="4" max="4" width="3.140625" style="6" customWidth="1"/>
    <col min="5" max="5" width="7.28515625" style="6" customWidth="1"/>
    <col min="6" max="6" width="8.140625" style="6" customWidth="1"/>
    <col min="7" max="7" width="6" style="6" customWidth="1"/>
    <col min="8" max="8" width="8.42578125" style="6" customWidth="1"/>
    <col min="9" max="9" width="5" style="6" customWidth="1"/>
    <col min="10" max="10" width="5.28515625" style="6" customWidth="1"/>
    <col min="11" max="11" width="9.28515625" style="6" customWidth="1"/>
    <col min="12" max="12" width="9" style="6" customWidth="1"/>
    <col min="13" max="13" width="8.140625" style="6" customWidth="1"/>
    <col min="14" max="15" width="7.5703125" style="6" customWidth="1"/>
    <col min="16" max="16" width="3.42578125" style="6" customWidth="1"/>
    <col min="17" max="17" width="9.140625" style="6"/>
    <col min="18" max="18" width="6.140625" style="6" customWidth="1"/>
    <col min="19" max="19" width="5" style="6" customWidth="1"/>
    <col min="20" max="16384" width="9.140625" style="6"/>
  </cols>
  <sheetData>
    <row r="1" spans="1:13" x14ac:dyDescent="0.25">
      <c r="A1" s="1">
        <v>15500</v>
      </c>
      <c r="B1" s="6" t="s">
        <v>0</v>
      </c>
    </row>
    <row r="2" spans="1:13" x14ac:dyDescent="0.25">
      <c r="A2" s="1">
        <f>A1*E2</f>
        <v>1162.5</v>
      </c>
      <c r="B2" s="6" t="s">
        <v>2</v>
      </c>
      <c r="E2" s="8">
        <v>7.4999999999999997E-2</v>
      </c>
    </row>
    <row r="3" spans="1:13" ht="17.25" x14ac:dyDescent="0.4">
      <c r="A3" s="13">
        <f>SUM(A1:A2)</f>
        <v>16662.5</v>
      </c>
      <c r="B3" s="6" t="s">
        <v>25</v>
      </c>
      <c r="E3" s="8"/>
      <c r="I3" s="6">
        <v>11</v>
      </c>
      <c r="J3" s="6" t="s">
        <v>15</v>
      </c>
      <c r="L3" s="4">
        <f>A3*I3</f>
        <v>183287.5</v>
      </c>
    </row>
    <row r="4" spans="1:13" x14ac:dyDescent="0.25">
      <c r="A4" s="1"/>
      <c r="E4" s="8"/>
    </row>
    <row r="5" spans="1:13" x14ac:dyDescent="0.25">
      <c r="A5" s="1">
        <v>3500</v>
      </c>
      <c r="B5" s="6" t="s">
        <v>1</v>
      </c>
    </row>
    <row r="6" spans="1:13" ht="17.25" x14ac:dyDescent="0.4">
      <c r="A6" s="9">
        <f>SUM(A3:A5)</f>
        <v>20162.5</v>
      </c>
      <c r="B6" s="6" t="s">
        <v>23</v>
      </c>
      <c r="I6" s="6">
        <f>I3</f>
        <v>11</v>
      </c>
      <c r="J6" s="6" t="s">
        <v>15</v>
      </c>
      <c r="L6" s="4">
        <f>A6*I6</f>
        <v>221787.5</v>
      </c>
    </row>
    <row r="8" spans="1:13" x14ac:dyDescent="0.25">
      <c r="A8" s="1"/>
    </row>
    <row r="9" spans="1:13" x14ac:dyDescent="0.25">
      <c r="A9" s="1">
        <f>-(A6*B9)</f>
        <v>-1008.125</v>
      </c>
      <c r="B9" s="5">
        <v>0.05</v>
      </c>
      <c r="C9" s="6" t="s">
        <v>3</v>
      </c>
    </row>
    <row r="10" spans="1:13" x14ac:dyDescent="0.25">
      <c r="A10" s="10">
        <f>A6+A9</f>
        <v>19154.375</v>
      </c>
      <c r="B10" s="6" t="s">
        <v>24</v>
      </c>
    </row>
    <row r="14" spans="1:13" x14ac:dyDescent="0.25">
      <c r="A14" s="1">
        <v>16250</v>
      </c>
      <c r="B14" s="6" t="str">
        <f>B1</f>
        <v>salary</v>
      </c>
    </row>
    <row r="15" spans="1:13" ht="17.25" x14ac:dyDescent="0.4">
      <c r="A15" s="13">
        <f>A14</f>
        <v>16250</v>
      </c>
      <c r="B15" s="6" t="str">
        <f>B3</f>
        <v>statutory financial impact</v>
      </c>
      <c r="F15" s="8">
        <f>-((A$3-A15)/A$3)</f>
        <v>-2.4756189047261814E-2</v>
      </c>
      <c r="I15" s="6">
        <v>9</v>
      </c>
      <c r="J15" s="6" t="s">
        <v>15</v>
      </c>
      <c r="L15" s="4">
        <f>(A15*I15)</f>
        <v>146250</v>
      </c>
      <c r="M15" s="8">
        <f>-((L3-L15)/L3)</f>
        <v>-0.20207324558412329</v>
      </c>
    </row>
    <row r="16" spans="1:13" x14ac:dyDescent="0.25">
      <c r="A16" s="1"/>
    </row>
    <row r="17" spans="1:13" x14ac:dyDescent="0.25">
      <c r="A17" s="1">
        <v>0</v>
      </c>
      <c r="B17" s="6" t="str">
        <f>B5</f>
        <v>flex</v>
      </c>
    </row>
    <row r="18" spans="1:13" x14ac:dyDescent="0.25">
      <c r="A18" s="1">
        <f>F18</f>
        <v>812.5</v>
      </c>
      <c r="B18" s="6" t="str">
        <f>B2</f>
        <v>retirement</v>
      </c>
      <c r="C18" s="5">
        <v>0.05</v>
      </c>
      <c r="D18" s="6" t="s">
        <v>5</v>
      </c>
      <c r="E18" s="5">
        <v>1</v>
      </c>
      <c r="F18" s="1">
        <f>($A14*C18)*E18</f>
        <v>812.5</v>
      </c>
      <c r="G18" s="1"/>
    </row>
    <row r="19" spans="1:13" ht="17.25" x14ac:dyDescent="0.4">
      <c r="A19" s="11">
        <f>SUM(A15:A18)</f>
        <v>17062.5</v>
      </c>
      <c r="B19" s="3"/>
      <c r="F19" s="8"/>
    </row>
    <row r="20" spans="1:13" x14ac:dyDescent="0.25">
      <c r="L20" s="1">
        <f>'Stipends+Flex'!L20</f>
        <v>10150</v>
      </c>
      <c r="M20" s="6" t="s">
        <v>22</v>
      </c>
    </row>
    <row r="21" spans="1:13" ht="17.25" x14ac:dyDescent="0.4">
      <c r="A21" s="9">
        <f>L21/I21</f>
        <v>18190.277777777777</v>
      </c>
      <c r="B21" s="3">
        <f>-A21+A10</f>
        <v>964.09722222222263</v>
      </c>
      <c r="C21" s="6" t="s">
        <v>9</v>
      </c>
      <c r="F21" s="8">
        <f>-((A$6-A21)/A$6)</f>
        <v>-9.7816353241027776E-2</v>
      </c>
      <c r="I21" s="6">
        <f>I15</f>
        <v>9</v>
      </c>
      <c r="J21" s="6" t="s">
        <v>15</v>
      </c>
      <c r="L21" s="4">
        <f>(A19*I21)+L20</f>
        <v>163712.5</v>
      </c>
      <c r="M21" s="8">
        <f>-((L6-L21)/L6)</f>
        <v>-0.2618497435608409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A19" sqref="A19"/>
    </sheetView>
  </sheetViews>
  <sheetFormatPr defaultRowHeight="15" x14ac:dyDescent="0.25"/>
  <cols>
    <col min="1" max="1" width="8.85546875" customWidth="1"/>
    <col min="2" max="2" width="10.5703125" customWidth="1"/>
    <col min="3" max="3" width="12" customWidth="1"/>
    <col min="4" max="4" width="3.140625" customWidth="1"/>
    <col min="5" max="5" width="7.28515625" customWidth="1"/>
    <col min="6" max="6" width="8.140625" style="6" customWidth="1"/>
    <col min="7" max="7" width="2.85546875" style="6" customWidth="1"/>
    <col min="8" max="8" width="5.42578125" customWidth="1"/>
    <col min="9" max="9" width="3" customWidth="1"/>
    <col min="10" max="10" width="4.28515625" customWidth="1"/>
    <col min="11" max="11" width="8.140625" customWidth="1"/>
    <col min="12" max="13" width="9.140625" customWidth="1"/>
    <col min="14" max="14" width="5.28515625" customWidth="1"/>
    <col min="15" max="15" width="9.28515625" customWidth="1"/>
    <col min="16" max="16" width="9" customWidth="1"/>
    <col min="17" max="17" width="8.140625" customWidth="1"/>
    <col min="18" max="18" width="7.5703125" customWidth="1"/>
    <col min="19" max="19" width="7.5703125" style="6" customWidth="1"/>
    <col min="20" max="20" width="3.42578125" customWidth="1"/>
    <col min="22" max="22" width="6.140625" customWidth="1"/>
    <col min="23" max="23" width="5" customWidth="1"/>
  </cols>
  <sheetData>
    <row r="1" spans="1:24" x14ac:dyDescent="0.25">
      <c r="A1" s="1">
        <v>15500</v>
      </c>
      <c r="B1" t="s">
        <v>0</v>
      </c>
    </row>
    <row r="2" spans="1:24" x14ac:dyDescent="0.25">
      <c r="A2" s="1">
        <v>3500</v>
      </c>
      <c r="B2" t="s">
        <v>1</v>
      </c>
    </row>
    <row r="3" spans="1:24" x14ac:dyDescent="0.25">
      <c r="A3" s="1">
        <f>A1*E3</f>
        <v>1162.5</v>
      </c>
      <c r="B3" t="s">
        <v>2</v>
      </c>
      <c r="E3" s="8">
        <v>7.4999999999999997E-2</v>
      </c>
    </row>
    <row r="4" spans="1:24" ht="17.25" x14ac:dyDescent="0.4">
      <c r="A4" s="9">
        <f>SUM(A1:A3)</f>
        <v>20162.5</v>
      </c>
      <c r="B4" t="s">
        <v>10</v>
      </c>
      <c r="M4">
        <v>11</v>
      </c>
      <c r="N4" t="s">
        <v>15</v>
      </c>
      <c r="P4" s="4">
        <f>A4*M4</f>
        <v>221787.5</v>
      </c>
    </row>
    <row r="6" spans="1:24" x14ac:dyDescent="0.25">
      <c r="A6" s="1"/>
    </row>
    <row r="7" spans="1:24" x14ac:dyDescent="0.25">
      <c r="A7" s="1">
        <f>-(A4*B7)</f>
        <v>-1008.125</v>
      </c>
      <c r="B7" s="5">
        <v>0.05</v>
      </c>
      <c r="C7" t="s">
        <v>3</v>
      </c>
    </row>
    <row r="8" spans="1:24" x14ac:dyDescent="0.25">
      <c r="A8" s="10">
        <f>A4+A7</f>
        <v>19154.375</v>
      </c>
      <c r="B8" t="s">
        <v>11</v>
      </c>
    </row>
    <row r="10" spans="1:24" x14ac:dyDescent="0.25">
      <c r="A10" s="1">
        <f>W10*B10*12</f>
        <v>1228</v>
      </c>
      <c r="B10" s="7">
        <v>0.5</v>
      </c>
      <c r="C10" t="s">
        <v>17</v>
      </c>
      <c r="K10">
        <v>30.7</v>
      </c>
      <c r="L10" t="s">
        <v>12</v>
      </c>
      <c r="N10">
        <f>K10*2</f>
        <v>61.4</v>
      </c>
      <c r="O10" t="s">
        <v>13</v>
      </c>
      <c r="P10">
        <v>4</v>
      </c>
      <c r="Q10" t="s">
        <v>14</v>
      </c>
      <c r="S10" s="6">
        <f>N10*P10</f>
        <v>245.6</v>
      </c>
      <c r="T10">
        <f>(8*P10)+(4*(P10/2))</f>
        <v>40</v>
      </c>
      <c r="U10" t="s">
        <v>16</v>
      </c>
      <c r="W10" s="12">
        <f>T10*N10/12</f>
        <v>204.66666666666666</v>
      </c>
      <c r="X10" t="s">
        <v>18</v>
      </c>
    </row>
    <row r="11" spans="1:24" ht="17.25" x14ac:dyDescent="0.4">
      <c r="A11" s="11">
        <f>A8-A10</f>
        <v>17926.375</v>
      </c>
      <c r="B11" t="s">
        <v>6</v>
      </c>
    </row>
    <row r="13" spans="1:24" x14ac:dyDescent="0.25">
      <c r="A13" s="1">
        <f>A11-(A11/(1+(E3*0.85)))</f>
        <v>1074.3185957696805</v>
      </c>
      <c r="B13" t="s">
        <v>7</v>
      </c>
      <c r="G13" s="3"/>
    </row>
    <row r="14" spans="1:24" ht="17.25" x14ac:dyDescent="0.4">
      <c r="A14" s="11">
        <f>A11-A13</f>
        <v>16852.056404230319</v>
      </c>
      <c r="B14" t="s">
        <v>8</v>
      </c>
    </row>
    <row r="16" spans="1:24" x14ac:dyDescent="0.25">
      <c r="A16" s="1">
        <v>17000</v>
      </c>
      <c r="B16" t="str">
        <f>B1</f>
        <v>salary</v>
      </c>
    </row>
    <row r="17" spans="1:17" x14ac:dyDescent="0.25">
      <c r="A17" s="1">
        <v>1250</v>
      </c>
      <c r="B17" t="s">
        <v>4</v>
      </c>
    </row>
    <row r="18" spans="1:17" x14ac:dyDescent="0.25">
      <c r="A18" s="1">
        <f>F18+K18</f>
        <v>1062.5</v>
      </c>
      <c r="B18" t="s">
        <v>2</v>
      </c>
      <c r="C18" s="5">
        <v>0.05</v>
      </c>
      <c r="D18" t="s">
        <v>5</v>
      </c>
      <c r="E18" s="5">
        <v>1</v>
      </c>
      <c r="F18" s="1">
        <f>($A16*C18)*E18</f>
        <v>850</v>
      </c>
      <c r="G18" s="1"/>
      <c r="H18" s="8">
        <v>2.5000000000000001E-2</v>
      </c>
      <c r="I18" t="s">
        <v>5</v>
      </c>
      <c r="J18" s="5">
        <v>0.5</v>
      </c>
      <c r="K18" s="3">
        <f>($A16*H18)*J18</f>
        <v>212.5</v>
      </c>
    </row>
    <row r="19" spans="1:17" ht="17.25" x14ac:dyDescent="0.4">
      <c r="A19" s="9">
        <f>SUM(A16:A18)</f>
        <v>19312.5</v>
      </c>
      <c r="B19" s="3">
        <f>-A19+A8</f>
        <v>-158.125</v>
      </c>
      <c r="C19" t="s">
        <v>9</v>
      </c>
      <c r="F19" s="2">
        <f>-((A4-A19)/A4)</f>
        <v>-4.2157470551766892E-2</v>
      </c>
      <c r="M19" s="6">
        <v>9</v>
      </c>
      <c r="N19" s="6" t="s">
        <v>15</v>
      </c>
      <c r="O19" s="6"/>
      <c r="P19" s="4">
        <f>A19*M19</f>
        <v>173812.5</v>
      </c>
      <c r="Q19" s="2">
        <f>-((P4-P19)/P4)</f>
        <v>-0.21631065772417291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Summary (2)</vt:lpstr>
      <vt:lpstr>Summary (3)</vt:lpstr>
      <vt:lpstr>Summary (4)</vt:lpstr>
      <vt:lpstr>Summary (5)</vt:lpstr>
      <vt:lpstr>Stipends+Flex</vt:lpstr>
      <vt:lpstr>Flex (no Stipends)</vt:lpstr>
      <vt:lpstr>Stipends (no Flex)</vt:lpstr>
      <vt:lpstr>Sheet1</vt:lpstr>
      <vt:lpstr>Sheet2</vt:lpstr>
    </vt:vector>
  </TitlesOfParts>
  <Company>Autodesk,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Smith</dc:creator>
  <cp:lastModifiedBy>Dan Smith</cp:lastModifiedBy>
  <cp:lastPrinted>2012-09-11T02:11:48Z</cp:lastPrinted>
  <dcterms:created xsi:type="dcterms:W3CDTF">2012-01-04T12:29:47Z</dcterms:created>
  <dcterms:modified xsi:type="dcterms:W3CDTF">2012-10-17T04:34:51Z</dcterms:modified>
</cp:coreProperties>
</file>